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. Princeton University in USA (2021 ~)\1. Princeton University\! In working_WWT benchmark\Benchmark excel\"/>
    </mc:Choice>
  </mc:AlternateContent>
  <xr:revisionPtr revIDLastSave="0" documentId="13_ncr:1_{EAD59FFA-4095-433F-8ACA-4C78FE6A8C31}" xr6:coauthVersionLast="36" xr6:coauthVersionMax="36" xr10:uidLastSave="{00000000-0000-0000-0000-000000000000}"/>
  <bookViews>
    <workbookView xWindow="0" yWindow="0" windowWidth="19170" windowHeight="8265" activeTab="1" xr2:uid="{A3DE1E29-F6E0-44DD-A7F7-ABFAC9706C43}"/>
  </bookViews>
  <sheets>
    <sheet name="Assumptions and parameters" sheetId="26" r:id="rId1"/>
    <sheet name="Treatment cost" sheetId="10" r:id="rId2"/>
    <sheet name="Capital cost" sheetId="13" r:id="rId3"/>
    <sheet name="Land" sheetId="25" r:id="rId4"/>
    <sheet name="O&amp;M cost" sheetId="24" r:id="rId5"/>
    <sheet name="Electricity" sheetId="14" r:id="rId6"/>
    <sheet name="Biogas" sheetId="27" r:id="rId7"/>
  </sheets>
  <definedNames>
    <definedName name="capa_cmd" comment="Wastewater influent (m3/d)">'Assumptions and parameters'!$D$5</definedName>
    <definedName name="capa_cmy" comment="Wastewater influent (m3/y)">'Assumptions and parameters'!$D$6</definedName>
    <definedName name="capa_mgd" comment="Wastewater influent (m3/d)">'Assumptions and parameters'!$D$7</definedName>
    <definedName name="ccr" comment="capital charge rate">'Assumptions and parameters'!$D$14</definedName>
    <definedName name="cm_to_gal" comment="m3 to gallon">'Assumptions and parameters'!$K$5</definedName>
    <definedName name="contingency">'Capital cost'!$C$31</definedName>
    <definedName name="labor_cost">'Assumptions and parameters'!$D$24</definedName>
    <definedName name="plant_area" comment="wastewater treatment plant area (m2)">'Assumptions and parameters'!$D$9</definedName>
    <definedName name="price_biogas">'Assumptions and parameters'!$D$28</definedName>
    <definedName name="price_cl">'Assumptions and parameters'!$D$20</definedName>
    <definedName name="price_disposal">'Assumptions and parameters'!$D$23</definedName>
    <definedName name="price_elec">'Assumptions and parameters'!$D$19</definedName>
    <definedName name="price_lime">'Assumptions and parameters'!$D$21</definedName>
    <definedName name="price_polymer">'Assumptions and parameters'!$D$22</definedName>
    <definedName name="sm_to_sf" comment="m2 to ft2">'Assumptions and parameters'!$K$10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3" l="1"/>
  <c r="J6" i="27" l="1"/>
  <c r="D7" i="26" l="1"/>
  <c r="E17" i="10"/>
  <c r="F17" i="10" s="1"/>
  <c r="D21" i="27"/>
  <c r="D19" i="27"/>
  <c r="D28" i="26"/>
  <c r="D27" i="26"/>
  <c r="D17" i="27"/>
  <c r="F14" i="27"/>
  <c r="D3" i="27"/>
  <c r="D15" i="27" s="1"/>
  <c r="D2" i="27"/>
  <c r="D9" i="27"/>
  <c r="D11" i="27"/>
  <c r="D12" i="27" s="1"/>
  <c r="F11" i="27" s="1"/>
  <c r="F12" i="27" l="1"/>
  <c r="D6" i="27"/>
  <c r="D18" i="27" l="1"/>
  <c r="D13" i="14" l="1"/>
  <c r="H26" i="13" l="1"/>
  <c r="D26" i="26"/>
  <c r="N30" i="24"/>
  <c r="D21" i="26"/>
  <c r="D20" i="26"/>
  <c r="N22" i="24" s="1"/>
  <c r="D23" i="26"/>
  <c r="D22" i="26"/>
  <c r="M24" i="24"/>
  <c r="N24" i="24" s="1"/>
  <c r="M23" i="24"/>
  <c r="N23" i="24" s="1"/>
  <c r="M29" i="24"/>
  <c r="N29" i="24" s="1"/>
  <c r="L16" i="24" l="1"/>
  <c r="M16" i="24" s="1"/>
  <c r="L11" i="24"/>
  <c r="M11" i="24" s="1"/>
  <c r="L9" i="24"/>
  <c r="M9" i="24" s="1"/>
  <c r="L10" i="24"/>
  <c r="M10" i="24" s="1"/>
  <c r="L13" i="24"/>
  <c r="M13" i="24" s="1"/>
  <c r="L14" i="24"/>
  <c r="M14" i="24" s="1"/>
  <c r="L15" i="24"/>
  <c r="M15" i="24" s="1"/>
  <c r="L8" i="24"/>
  <c r="M8" i="24" s="1"/>
  <c r="C5" i="25"/>
  <c r="D7" i="13" l="1"/>
  <c r="D11" i="26"/>
  <c r="D5" i="26" l="1"/>
  <c r="D14" i="26"/>
  <c r="I3" i="13" s="1"/>
  <c r="D3" i="24" l="1"/>
  <c r="L34" i="24" s="1"/>
  <c r="L35" i="24" s="1"/>
  <c r="L37" i="24" s="1"/>
  <c r="L38" i="24" s="1"/>
  <c r="D2" i="24"/>
  <c r="C3" i="14"/>
  <c r="C3" i="13"/>
  <c r="F15" i="13" s="1"/>
  <c r="H15" i="13" s="1"/>
  <c r="I15" i="13" s="1"/>
  <c r="C4" i="14"/>
  <c r="D6" i="26"/>
  <c r="D9" i="26" s="1"/>
  <c r="E4" i="25"/>
  <c r="E5" i="25"/>
  <c r="O23" i="24" l="1"/>
  <c r="O24" i="24"/>
  <c r="O22" i="24"/>
  <c r="E10" i="24" s="1"/>
  <c r="O29" i="24"/>
  <c r="E6" i="24" s="1"/>
  <c r="O30" i="24"/>
  <c r="N13" i="24"/>
  <c r="D11" i="24" s="1"/>
  <c r="N10" i="24"/>
  <c r="D8" i="24" s="1"/>
  <c r="N9" i="24"/>
  <c r="D7" i="24" s="1"/>
  <c r="N16" i="24"/>
  <c r="D15" i="24" s="1"/>
  <c r="N14" i="24"/>
  <c r="D12" i="24" s="1"/>
  <c r="N11" i="24"/>
  <c r="D9" i="24" s="1"/>
  <c r="N8" i="24"/>
  <c r="D6" i="24" s="1"/>
  <c r="N15" i="24"/>
  <c r="D13" i="24" s="1"/>
  <c r="E8" i="14"/>
  <c r="E15" i="14"/>
  <c r="E9" i="14"/>
  <c r="E16" i="14"/>
  <c r="E11" i="14"/>
  <c r="E10" i="14"/>
  <c r="E13" i="14"/>
  <c r="E14" i="14"/>
  <c r="E7" i="14"/>
  <c r="E17" i="14"/>
  <c r="D25" i="13"/>
  <c r="E13" i="24" l="1"/>
  <c r="I26" i="13"/>
  <c r="E17" i="24" l="1"/>
  <c r="D12" i="14"/>
  <c r="H14" i="13"/>
  <c r="L12" i="24" l="1"/>
  <c r="M12" i="24" s="1"/>
  <c r="N12" i="24" s="1"/>
  <c r="D10" i="24" s="1"/>
  <c r="D17" i="24" s="1"/>
  <c r="E12" i="14"/>
  <c r="D18" i="14"/>
  <c r="I12" i="14" s="1"/>
  <c r="I14" i="13"/>
  <c r="I17" i="14" l="1"/>
  <c r="I10" i="14"/>
  <c r="I18" i="14"/>
  <c r="I16" i="14"/>
  <c r="I9" i="14"/>
  <c r="I15" i="14"/>
  <c r="I11" i="14"/>
  <c r="I8" i="14"/>
  <c r="I7" i="14"/>
  <c r="I14" i="14"/>
  <c r="I13" i="14"/>
  <c r="E18" i="14"/>
  <c r="F7" i="13" l="1"/>
  <c r="D23" i="13"/>
  <c r="F23" i="13" s="1"/>
  <c r="H23" i="13" s="1"/>
  <c r="I23" i="13" s="1"/>
  <c r="D22" i="13"/>
  <c r="F22" i="13" s="1"/>
  <c r="H22" i="13" s="1"/>
  <c r="I22" i="13" s="1"/>
  <c r="D21" i="13"/>
  <c r="F21" i="13" s="1"/>
  <c r="H21" i="13" s="1"/>
  <c r="I21" i="13" s="1"/>
  <c r="D20" i="13"/>
  <c r="F20" i="13" s="1"/>
  <c r="H20" i="13" s="1"/>
  <c r="I20" i="13" s="1"/>
  <c r="D19" i="13"/>
  <c r="F19" i="13" s="1"/>
  <c r="H19" i="13" s="1"/>
  <c r="I19" i="13" s="1"/>
  <c r="D18" i="13"/>
  <c r="F18" i="13" s="1"/>
  <c r="H18" i="13" s="1"/>
  <c r="I18" i="13" s="1"/>
  <c r="D13" i="13"/>
  <c r="F13" i="13" s="1"/>
  <c r="H13" i="13" s="1"/>
  <c r="I13" i="13" s="1"/>
  <c r="D12" i="13"/>
  <c r="F12" i="13" s="1"/>
  <c r="H12" i="13" s="1"/>
  <c r="I12" i="13" s="1"/>
  <c r="D16" i="13"/>
  <c r="F16" i="13" s="1"/>
  <c r="H16" i="13" s="1"/>
  <c r="D11" i="13"/>
  <c r="F11" i="13" s="1"/>
  <c r="H11" i="13" s="1"/>
  <c r="I11" i="13" s="1"/>
  <c r="D10" i="13"/>
  <c r="F10" i="13" s="1"/>
  <c r="H10" i="13" s="1"/>
  <c r="I10" i="13" s="1"/>
  <c r="D9" i="13"/>
  <c r="F9" i="13" s="1"/>
  <c r="H9" i="13" s="1"/>
  <c r="I9" i="13" s="1"/>
  <c r="D8" i="13"/>
  <c r="I16" i="13" l="1"/>
  <c r="F8" i="13"/>
  <c r="H8" i="13" s="1"/>
  <c r="F24" i="13" l="1"/>
  <c r="F25" i="13" s="1"/>
  <c r="I8" i="13"/>
  <c r="H7" i="13"/>
  <c r="I7" i="13" l="1"/>
  <c r="K15" i="13" s="1"/>
  <c r="F14" i="24" s="1"/>
  <c r="G14" i="24" s="1"/>
  <c r="E12" i="10" s="1"/>
  <c r="H24" i="13"/>
  <c r="K7" i="13" l="1"/>
  <c r="F6" i="24" s="1"/>
  <c r="K14" i="13"/>
  <c r="F13" i="24" s="1"/>
  <c r="G13" i="24" s="1"/>
  <c r="E11" i="10" s="1"/>
  <c r="K9" i="13"/>
  <c r="F8" i="24" s="1"/>
  <c r="G8" i="24" s="1"/>
  <c r="E6" i="10" s="1"/>
  <c r="K13" i="13"/>
  <c r="F12" i="24" s="1"/>
  <c r="G12" i="24" s="1"/>
  <c r="E10" i="10" s="1"/>
  <c r="K11" i="13"/>
  <c r="F10" i="24" s="1"/>
  <c r="G10" i="24" s="1"/>
  <c r="E8" i="10" s="1"/>
  <c r="K10" i="13"/>
  <c r="F9" i="24" s="1"/>
  <c r="G9" i="24" s="1"/>
  <c r="E7" i="10" s="1"/>
  <c r="K12" i="13"/>
  <c r="F11" i="24" s="1"/>
  <c r="G11" i="24" s="1"/>
  <c r="E9" i="10" s="1"/>
  <c r="K16" i="13"/>
  <c r="F15" i="24" s="1"/>
  <c r="G15" i="24" s="1"/>
  <c r="E13" i="10" s="1"/>
  <c r="K8" i="13"/>
  <c r="F7" i="24" s="1"/>
  <c r="G7" i="24" s="1"/>
  <c r="E5" i="10" s="1"/>
  <c r="H25" i="13"/>
  <c r="I24" i="13"/>
  <c r="H27" i="13" l="1"/>
  <c r="I27" i="13" s="1"/>
  <c r="F17" i="24"/>
  <c r="G6" i="24"/>
  <c r="I25" i="13"/>
  <c r="I28" i="13" l="1"/>
  <c r="H28" i="13"/>
  <c r="C31" i="13" s="1"/>
  <c r="J15" i="13" s="1"/>
  <c r="D12" i="10" s="1"/>
  <c r="F12" i="10" s="1"/>
  <c r="E4" i="10"/>
  <c r="G17" i="24"/>
  <c r="J14" i="13" l="1"/>
  <c r="D11" i="10" s="1"/>
  <c r="F11" i="10" s="1"/>
  <c r="J13" i="13"/>
  <c r="D10" i="10" s="1"/>
  <c r="F10" i="10" s="1"/>
  <c r="J11" i="13"/>
  <c r="D8" i="10" s="1"/>
  <c r="F8" i="10" s="1"/>
  <c r="J10" i="13"/>
  <c r="D7" i="10" s="1"/>
  <c r="F7" i="10" s="1"/>
  <c r="J12" i="13"/>
  <c r="J9" i="13"/>
  <c r="D6" i="10" s="1"/>
  <c r="F6" i="10" s="1"/>
  <c r="J16" i="13"/>
  <c r="D13" i="10" s="1"/>
  <c r="F13" i="10" s="1"/>
  <c r="J8" i="13"/>
  <c r="D5" i="10" s="1"/>
  <c r="F5" i="10" s="1"/>
  <c r="J7" i="13"/>
  <c r="J28" i="13" l="1"/>
  <c r="D4" i="10"/>
  <c r="D9" i="10"/>
  <c r="F9" i="10" l="1"/>
  <c r="E16" i="10"/>
  <c r="F4" i="10"/>
  <c r="D16" i="10"/>
  <c r="F16" i="10" s="1"/>
  <c r="F19" i="10" l="1"/>
</calcChain>
</file>

<file path=xl/sharedStrings.xml><?xml version="1.0" encoding="utf-8"?>
<sst xmlns="http://schemas.openxmlformats.org/spreadsheetml/2006/main" count="267" uniqueCount="177">
  <si>
    <t>Unit process</t>
  </si>
  <si>
    <t>Preliminary treatment</t>
  </si>
  <si>
    <t>Primary treatment</t>
  </si>
  <si>
    <t>Secondary treatment</t>
  </si>
  <si>
    <t>Total</t>
    <phoneticPr fontId="1" type="noConversion"/>
  </si>
  <si>
    <t>Reference</t>
  </si>
  <si>
    <t>Wastewater treatment plants. Planning, design, and operation</t>
  </si>
  <si>
    <t>Construction Costs for Municipal Wastewater Treatment Plants: 1973-1978</t>
  </si>
  <si>
    <t>Control/Lab/Maintanence</t>
  </si>
  <si>
    <t>a</t>
    <phoneticPr fontId="1" type="noConversion"/>
  </si>
  <si>
    <t>Gravity thickening</t>
    <phoneticPr fontId="1" type="noConversion"/>
  </si>
  <si>
    <t>Anaerobic digestion</t>
    <phoneticPr fontId="1" type="noConversion"/>
  </si>
  <si>
    <t>Mobilization</t>
    <phoneticPr fontId="1" type="noConversion"/>
  </si>
  <si>
    <t>Pilings, special foundations, dewatering</t>
    <phoneticPr fontId="1" type="noConversion"/>
  </si>
  <si>
    <t>Electrical</t>
    <phoneticPr fontId="1" type="noConversion"/>
  </si>
  <si>
    <t>Controls and instrumentation</t>
    <phoneticPr fontId="1" type="noConversion"/>
  </si>
  <si>
    <t>All piping</t>
    <phoneticPr fontId="1" type="noConversion"/>
  </si>
  <si>
    <t>$/kWh</t>
    <phoneticPr fontId="1" type="noConversion"/>
  </si>
  <si>
    <t>Capital charge rate</t>
    <phoneticPr fontId="1" type="noConversion"/>
  </si>
  <si>
    <t>kWh/d</t>
  </si>
  <si>
    <t>m3/yr</t>
  </si>
  <si>
    <t>Electricity Use and Management in the Municipal Water Supply and Wastewater Industries</t>
  </si>
  <si>
    <t>Anaerobic digestion</t>
  </si>
  <si>
    <t>Belt filter press</t>
  </si>
  <si>
    <t>Disinfection</t>
  </si>
  <si>
    <t>Pumping station</t>
  </si>
  <si>
    <t>Plant lifetime</t>
  </si>
  <si>
    <t>yr</t>
  </si>
  <si>
    <t>Reference year</t>
  </si>
  <si>
    <t>Remarks</t>
  </si>
  <si>
    <t>ENR Index</t>
  </si>
  <si>
    <t>Year</t>
  </si>
  <si>
    <t>million gallon per day</t>
  </si>
  <si>
    <t>Energy Efficiency in Wastewater Treatment in North America: A Compendium of Best Practices and Case Studies of Novel Approaches</t>
  </si>
  <si>
    <r>
      <t>Cost = a * (flow rate</t>
    </r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charset val="129"/>
        <scheme val="minor"/>
      </rPr>
      <t>)</t>
    </r>
  </si>
  <si>
    <t xml:space="preserve">  Unit of flow rate = million gallon per day</t>
  </si>
  <si>
    <t>Benchmark flow</t>
  </si>
  <si>
    <t>Electricity requirements</t>
  </si>
  <si>
    <t>Sitework including excavation</t>
  </si>
  <si>
    <t>Other direct costs</t>
  </si>
  <si>
    <t>Direct cost (unit process construction)</t>
  </si>
  <si>
    <t>Total direct cost (Total plant construction)</t>
  </si>
  <si>
    <t>Land cost</t>
  </si>
  <si>
    <t>Total project investment</t>
  </si>
  <si>
    <t>Chlorine</t>
  </si>
  <si>
    <t>Materials</t>
  </si>
  <si>
    <t>Labor cost</t>
  </si>
  <si>
    <t>m2</t>
  </si>
  <si>
    <t>m3/d</t>
  </si>
  <si>
    <t>person</t>
  </si>
  <si>
    <t>Cost 
[Reference year]</t>
  </si>
  <si>
    <t>Cost
[$ in 2021]</t>
  </si>
  <si>
    <t>Exponent</t>
  </si>
  <si>
    <t xml:space="preserve">Weekly Man-Hours </t>
    <phoneticPr fontId="1" type="noConversion"/>
  </si>
  <si>
    <t>Benchmark process</t>
    <phoneticPr fontId="1" type="noConversion"/>
  </si>
  <si>
    <t>m3/s</t>
    <phoneticPr fontId="1" type="noConversion"/>
  </si>
  <si>
    <t>m3/d</t>
    <phoneticPr fontId="1" type="noConversion"/>
  </si>
  <si>
    <t>m3</t>
    <phoneticPr fontId="1" type="noConversion"/>
  </si>
  <si>
    <t>million gallon/d</t>
    <phoneticPr fontId="1" type="noConversion"/>
  </si>
  <si>
    <t xml:space="preserve">Conversion factors </t>
    <phoneticPr fontId="1" type="noConversion"/>
  </si>
  <si>
    <t>Volume</t>
    <phoneticPr fontId="1" type="noConversion"/>
  </si>
  <si>
    <t>gallon</t>
    <phoneticPr fontId="1" type="noConversion"/>
  </si>
  <si>
    <t>m2</t>
    <phoneticPr fontId="1" type="noConversion"/>
  </si>
  <si>
    <t>Discount rate</t>
    <phoneticPr fontId="1" type="noConversion"/>
  </si>
  <si>
    <t>Operating hour</t>
    <phoneticPr fontId="1" type="noConversion"/>
  </si>
  <si>
    <t>hr</t>
    <phoneticPr fontId="1" type="noConversion"/>
  </si>
  <si>
    <t>Cost year index</t>
    <phoneticPr fontId="1" type="noConversion"/>
  </si>
  <si>
    <t>ENR</t>
    <phoneticPr fontId="1" type="noConversion"/>
  </si>
  <si>
    <t>Area</t>
    <phoneticPr fontId="1" type="noConversion"/>
  </si>
  <si>
    <t>Total Indirect cost (Nonconstruction costs)</t>
    <phoneticPr fontId="1" type="noConversion"/>
  </si>
  <si>
    <t>of Total direct cost</t>
    <phoneticPr fontId="1" type="noConversion"/>
  </si>
  <si>
    <t>million gal/d</t>
    <phoneticPr fontId="1" type="noConversion"/>
  </si>
  <si>
    <t>m3/d</t>
    <phoneticPr fontId="1" type="noConversion"/>
  </si>
  <si>
    <t>It is assumed based on the ratio of electricity requirements of Pumping and chlorination</t>
    <phoneticPr fontId="1" type="noConversion"/>
  </si>
  <si>
    <t>kWh/m3</t>
    <phoneticPr fontId="1" type="noConversion"/>
  </si>
  <si>
    <t>Coefficient</t>
    <phoneticPr fontId="1" type="noConversion"/>
  </si>
  <si>
    <t>Land = 839 * (person/1000)^0.722</t>
    <phoneticPr fontId="1" type="noConversion"/>
  </si>
  <si>
    <t>Land = 21.025 * (flow [m3/d])^0.722</t>
    <phoneticPr fontId="1" type="noConversion"/>
  </si>
  <si>
    <t>Area</t>
    <phoneticPr fontId="1" type="noConversion"/>
  </si>
  <si>
    <t>Index</t>
    <phoneticPr fontId="1" type="noConversion"/>
  </si>
  <si>
    <t>Annualized capital cost
[$ in 2021]</t>
    <phoneticPr fontId="1" type="noConversion"/>
  </si>
  <si>
    <t>Treatment cost</t>
    <phoneticPr fontId="1" type="noConversion"/>
  </si>
  <si>
    <t>Capital cost [$/m3]</t>
    <phoneticPr fontId="1" type="noConversion"/>
  </si>
  <si>
    <t>O&amp;M cost [$/m3]</t>
    <phoneticPr fontId="1" type="noConversion"/>
  </si>
  <si>
    <t>Total treatment cost [$/m3]</t>
    <phoneticPr fontId="1" type="noConversion"/>
  </si>
  <si>
    <t>Polymer</t>
    <phoneticPr fontId="1" type="noConversion"/>
  </si>
  <si>
    <t>Preliminary treatment</t>
    <phoneticPr fontId="1" type="noConversion"/>
  </si>
  <si>
    <t>Material requirements</t>
    <phoneticPr fontId="1" type="noConversion"/>
  </si>
  <si>
    <t>Unit process</t>
    <phoneticPr fontId="1" type="noConversion"/>
  </si>
  <si>
    <t>Disposal</t>
    <phoneticPr fontId="1" type="noConversion"/>
  </si>
  <si>
    <t>Disinfection</t>
    <phoneticPr fontId="1" type="noConversion"/>
  </si>
  <si>
    <t>Residue handling (dewatering)</t>
    <phoneticPr fontId="1" type="noConversion"/>
  </si>
  <si>
    <t>Flow rate [kg/d]</t>
    <phoneticPr fontId="1" type="noConversion"/>
  </si>
  <si>
    <t>Treatment cost [$/m3]</t>
    <phoneticPr fontId="1" type="noConversion"/>
  </si>
  <si>
    <t>million gallon/d</t>
    <phoneticPr fontId="1" type="noConversion"/>
  </si>
  <si>
    <t>Salary</t>
    <phoneticPr fontId="1" type="noConversion"/>
  </si>
  <si>
    <t>Annual Man-Hours</t>
    <phoneticPr fontId="1" type="noConversion"/>
  </si>
  <si>
    <t>hr/week</t>
    <phoneticPr fontId="1" type="noConversion"/>
  </si>
  <si>
    <t>hr/y</t>
    <phoneticPr fontId="1" type="noConversion"/>
  </si>
  <si>
    <t>$/hr</t>
    <phoneticPr fontId="1" type="noConversion"/>
  </si>
  <si>
    <t>Annual Labor cost</t>
    <phoneticPr fontId="1" type="noConversion"/>
  </si>
  <si>
    <t>$/yr</t>
    <phoneticPr fontId="1" type="noConversion"/>
  </si>
  <si>
    <t>Electricity requirements</t>
    <phoneticPr fontId="1" type="noConversion"/>
  </si>
  <si>
    <t>Costs [$/d]</t>
    <phoneticPr fontId="1" type="noConversion"/>
  </si>
  <si>
    <t>Electricity</t>
    <phoneticPr fontId="1" type="noConversion"/>
  </si>
  <si>
    <t>Price parameter</t>
    <phoneticPr fontId="1" type="noConversion"/>
  </si>
  <si>
    <t>Requirements [kWh/d]</t>
    <phoneticPr fontId="1" type="noConversion"/>
  </si>
  <si>
    <t>Biogas revenue</t>
    <phoneticPr fontId="1" type="noConversion"/>
  </si>
  <si>
    <t>Net treatment cost</t>
    <phoneticPr fontId="1" type="noConversion"/>
  </si>
  <si>
    <t>Solid waste</t>
    <phoneticPr fontId="1" type="noConversion"/>
  </si>
  <si>
    <t>Biosolid</t>
    <phoneticPr fontId="1" type="noConversion"/>
  </si>
  <si>
    <t>Solid disposal</t>
    <phoneticPr fontId="1" type="noConversion"/>
  </si>
  <si>
    <t>Labor cost</t>
    <phoneticPr fontId="1" type="noConversion"/>
  </si>
  <si>
    <t>$/kg</t>
    <phoneticPr fontId="1" type="noConversion"/>
  </si>
  <si>
    <t>$/hr</t>
    <phoneticPr fontId="1" type="noConversion"/>
  </si>
  <si>
    <t>Wastewater management in Greece: experience and lessons for developing countries</t>
  </si>
  <si>
    <t>Application of cost criteria for selection of municipal wastewater treatment systems</t>
    <phoneticPr fontId="1" type="noConversion"/>
  </si>
  <si>
    <t>Reference</t>
    <phoneticPr fontId="1" type="noConversion"/>
  </si>
  <si>
    <t>Costs and Manpower for Municipal Wastewater Treatment Plant Operation and Maintenance, 1965-1968</t>
  </si>
  <si>
    <t>Cost [$/m3]</t>
    <phoneticPr fontId="1" type="noConversion"/>
  </si>
  <si>
    <t>Electricity cost
[$/m3]</t>
    <phoneticPr fontId="1" type="noConversion"/>
  </si>
  <si>
    <t>Cl2</t>
    <phoneticPr fontId="1" type="noConversion"/>
  </si>
  <si>
    <t>Lime (CaO)</t>
    <phoneticPr fontId="1" type="noConversion"/>
  </si>
  <si>
    <t>https://investors.westlake.com/industry-pricing/default.aspx</t>
  </si>
  <si>
    <t>Material and disposal cost [$/m3]</t>
    <phoneticPr fontId="1" type="noConversion"/>
  </si>
  <si>
    <t>Labor cost [$/m3]</t>
    <phoneticPr fontId="1" type="noConversion"/>
  </si>
  <si>
    <t>Total</t>
    <phoneticPr fontId="1" type="noConversion"/>
  </si>
  <si>
    <t>$/m3</t>
    <phoneticPr fontId="1" type="noConversion"/>
  </si>
  <si>
    <t>% of direct cost</t>
    <phoneticPr fontId="1" type="noConversion"/>
  </si>
  <si>
    <t>Land cost</t>
    <phoneticPr fontId="1" type="noConversion"/>
  </si>
  <si>
    <t>$/acre</t>
    <phoneticPr fontId="1" type="noConversion"/>
  </si>
  <si>
    <t>acre</t>
    <phoneticPr fontId="1" type="noConversion"/>
  </si>
  <si>
    <t>$/m2</t>
    <phoneticPr fontId="1" type="noConversion"/>
  </si>
  <si>
    <t>Working capital</t>
    <phoneticPr fontId="1" type="noConversion"/>
  </si>
  <si>
    <t>of Total direct and indirect costs</t>
    <phoneticPr fontId="1" type="noConversion"/>
  </si>
  <si>
    <t>Gravity thickener</t>
  </si>
  <si>
    <t>ft2</t>
  </si>
  <si>
    <t>kWh</t>
  </si>
  <si>
    <t>6, 7</t>
  </si>
  <si>
    <t>2, 8</t>
  </si>
  <si>
    <t>Energy conversion in Municipal Wastewater Treatment</t>
  </si>
  <si>
    <t>* Reference flow is 10 million gal/d</t>
  </si>
  <si>
    <t>Required energy</t>
  </si>
  <si>
    <t>Biogas heating value</t>
  </si>
  <si>
    <t>kJ/m3 biogas</t>
  </si>
  <si>
    <t>kJ/h</t>
  </si>
  <si>
    <t>kWh/m3 biogas</t>
  </si>
  <si>
    <t>kW</t>
  </si>
  <si>
    <t>Biogas production</t>
  </si>
  <si>
    <t>m3 gas/d</t>
  </si>
  <si>
    <t>Required biogas for AD</t>
  </si>
  <si>
    <t>of produced biogas</t>
  </si>
  <si>
    <t>m3 gas/m3 water</t>
  </si>
  <si>
    <t>Biogas price</t>
  </si>
  <si>
    <t>It is calculated based on area (1135 ft2)</t>
  </si>
  <si>
    <t xml:space="preserve"> </t>
  </si>
  <si>
    <t>kWh/m3</t>
  </si>
  <si>
    <t>Net produced biogas</t>
  </si>
  <si>
    <t>m3 gas/m3</t>
  </si>
  <si>
    <t>Revenue</t>
  </si>
  <si>
    <t>$/m3</t>
  </si>
  <si>
    <t>$/MMBtu</t>
  </si>
  <si>
    <t>Energy</t>
  </si>
  <si>
    <t>MMBtu</t>
  </si>
  <si>
    <t>$/kWh</t>
  </si>
  <si>
    <t>Contingency factor (total project investment/direct cost for unit process construction)</t>
  </si>
  <si>
    <t>CapedWorks (www.hydromantis.com/CapdetWorks.html)</t>
  </si>
  <si>
    <t>Boiler</t>
  </si>
  <si>
    <t>MMcal/hr</t>
  </si>
  <si>
    <t>Feed</t>
  </si>
  <si>
    <t>Dewatering</t>
  </si>
  <si>
    <t>Other buildings</t>
  </si>
  <si>
    <t>Gravity thickening</t>
  </si>
  <si>
    <t>Secondary treatment (Aeration without nitrification)</t>
  </si>
  <si>
    <t>Secondary treatment (Secondary clarifiers)</t>
  </si>
  <si>
    <t>Other buildings (Plant utility water)</t>
  </si>
  <si>
    <t>Other buildings (Nonprocess loads (buildings, lighting, computers, pneumatics, etc))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</si>
</sst>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.000_-;\-* #,##0.000_-;_-* &quot;-&quot;??_-;_-@_-"/>
    <numFmt numFmtId="166" formatCode="0.000"/>
    <numFmt numFmtId="167" formatCode="_-* #,##0.000_-;\-* #,##0.000_-;_-* &quot;-&quot;_-;_-@_-"/>
    <numFmt numFmtId="168" formatCode="_-* #,##0.0000_-;\-* #,##0.0000_-;_-* &quot;-&quot;_-;_-@_-"/>
    <numFmt numFmtId="169" formatCode="#,##0.000"/>
    <numFmt numFmtId="170" formatCode="0.0%"/>
    <numFmt numFmtId="171" formatCode="_-* #,##0.0_-;\-* #,##0.0_-;_-* &quot;-&quot;_-;_-@_-"/>
    <numFmt numFmtId="172" formatCode="0.0"/>
    <numFmt numFmtId="173" formatCode="_-* #,##0.0000_-;\-* #,##0.0000_-;_-* &quot;-&quot;??_-;_-@_-"/>
    <numFmt numFmtId="174" formatCode="_-* #,##0.000000_-;\-* #,##0.000000_-;_-* &quot;-&quot;??_-;_-@_-"/>
    <numFmt numFmtId="175" formatCode="_-* #,##0.0000000000_-;\-* #,##0.0000000000_-;_-* &quot;-&quot;????_-;_-@_-"/>
    <numFmt numFmtId="178" formatCode="_-* #,##0.0000_-;\-* #,##0.0000_-;_-* &quot;-&quot;????_-;_-@_-"/>
  </numFmts>
  <fonts count="12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3"/>
      <charset val="129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3"/>
      <charset val="129"/>
      <scheme val="minor"/>
    </font>
    <font>
      <sz val="11"/>
      <name val="Calibri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1" fontId="0" fillId="0" borderId="0" xfId="1" applyFont="1">
      <alignment vertical="center"/>
    </xf>
    <xf numFmtId="43" fontId="0" fillId="0" borderId="0" xfId="0" applyNumberFormat="1">
      <alignment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41" fontId="0" fillId="0" borderId="0" xfId="0" applyNumberFormat="1">
      <alignment vertical="center"/>
    </xf>
    <xf numFmtId="166" fontId="0" fillId="0" borderId="0" xfId="0" applyNumberFormat="1">
      <alignment vertical="center"/>
    </xf>
    <xf numFmtId="0" fontId="7" fillId="0" borderId="0" xfId="0" applyFont="1">
      <alignment vertical="center"/>
    </xf>
    <xf numFmtId="9" fontId="0" fillId="0" borderId="0" xfId="2" applyFont="1" applyAlignment="1">
      <alignment vertical="center"/>
    </xf>
    <xf numFmtId="167" fontId="0" fillId="0" borderId="0" xfId="1" applyNumberFormat="1" applyFont="1">
      <alignment vertical="center"/>
    </xf>
    <xf numFmtId="165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3" fontId="8" fillId="0" borderId="0" xfId="0" applyNumberFormat="1" applyFont="1">
      <alignment vertical="center"/>
    </xf>
    <xf numFmtId="0" fontId="8" fillId="0" borderId="0" xfId="0" applyFont="1">
      <alignment vertical="center"/>
    </xf>
    <xf numFmtId="41" fontId="8" fillId="0" borderId="0" xfId="1" applyFont="1">
      <alignment vertical="center"/>
    </xf>
    <xf numFmtId="164" fontId="8" fillId="0" borderId="0" xfId="1" applyNumberFormat="1" applyFont="1">
      <alignment vertical="center"/>
    </xf>
    <xf numFmtId="167" fontId="0" fillId="0" borderId="0" xfId="0" applyNumberFormat="1">
      <alignment vertical="center"/>
    </xf>
    <xf numFmtId="0" fontId="6" fillId="0" borderId="0" xfId="0" applyFont="1" applyFill="1" applyAlignment="1">
      <alignment vertical="center" wrapText="1"/>
    </xf>
    <xf numFmtId="168" fontId="8" fillId="0" borderId="0" xfId="1" applyNumberFormat="1" applyFont="1" applyFill="1">
      <alignment vertical="center"/>
    </xf>
    <xf numFmtId="0" fontId="8" fillId="0" borderId="0" xfId="0" applyFont="1" applyFill="1">
      <alignment vertical="center"/>
    </xf>
    <xf numFmtId="166" fontId="8" fillId="0" borderId="0" xfId="0" applyNumberFormat="1" applyFont="1" applyFill="1">
      <alignment vertical="center"/>
    </xf>
    <xf numFmtId="0" fontId="3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9" fontId="0" fillId="0" borderId="0" xfId="0" applyNumberFormat="1">
      <alignment vertical="center"/>
    </xf>
    <xf numFmtId="170" fontId="0" fillId="0" borderId="0" xfId="2" applyNumberFormat="1" applyFont="1" applyAlignment="1">
      <alignment vertical="center"/>
    </xf>
    <xf numFmtId="0" fontId="3" fillId="3" borderId="0" xfId="0" applyFont="1" applyFill="1">
      <alignment vertical="center"/>
    </xf>
    <xf numFmtId="41" fontId="8" fillId="0" borderId="0" xfId="0" applyNumberFormat="1" applyFont="1">
      <alignment vertical="center"/>
    </xf>
    <xf numFmtId="10" fontId="0" fillId="0" borderId="0" xfId="2" applyNumberFormat="1" applyFont="1" applyAlignment="1">
      <alignment vertical="center"/>
    </xf>
    <xf numFmtId="0" fontId="3" fillId="4" borderId="0" xfId="0" applyFont="1" applyFill="1">
      <alignment vertical="center"/>
    </xf>
    <xf numFmtId="41" fontId="7" fillId="0" borderId="0" xfId="1" applyFont="1">
      <alignment vertical="center"/>
    </xf>
    <xf numFmtId="164" fontId="0" fillId="0" borderId="0" xfId="1" applyNumberFormat="1" applyFo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41" fontId="0" fillId="0" borderId="0" xfId="1" applyFont="1" applyFill="1" applyBorder="1">
      <alignment vertical="center"/>
    </xf>
    <xf numFmtId="0" fontId="5" fillId="0" borderId="0" xfId="0" applyFont="1" applyFill="1" applyBorder="1">
      <alignment vertical="center"/>
    </xf>
    <xf numFmtId="169" fontId="0" fillId="0" borderId="0" xfId="0" applyNumberFormat="1" applyFill="1" applyBorder="1">
      <alignment vertical="center"/>
    </xf>
    <xf numFmtId="171" fontId="0" fillId="0" borderId="0" xfId="1" applyNumberFormat="1" applyFont="1">
      <alignment vertical="center"/>
    </xf>
    <xf numFmtId="172" fontId="0" fillId="0" borderId="0" xfId="0" applyNumberFormat="1">
      <alignment vertical="center"/>
    </xf>
    <xf numFmtId="0" fontId="3" fillId="0" borderId="0" xfId="0" applyFont="1" applyFill="1">
      <alignment vertical="center"/>
    </xf>
    <xf numFmtId="171" fontId="0" fillId="0" borderId="0" xfId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167" fontId="0" fillId="0" borderId="0" xfId="1" applyNumberFormat="1" applyFont="1" applyFill="1" applyBorder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Fill="1" applyBorder="1">
      <alignment vertical="center"/>
    </xf>
    <xf numFmtId="174" fontId="0" fillId="0" borderId="0" xfId="0" applyNumberFormat="1">
      <alignment vertical="center"/>
    </xf>
    <xf numFmtId="170" fontId="0" fillId="0" borderId="0" xfId="0" applyNumberFormat="1">
      <alignment vertical="center"/>
    </xf>
    <xf numFmtId="175" fontId="0" fillId="0" borderId="0" xfId="0" applyNumberFormat="1">
      <alignment vertical="center"/>
    </xf>
    <xf numFmtId="167" fontId="8" fillId="0" borderId="0" xfId="1" applyNumberFormat="1" applyFont="1" applyFill="1">
      <alignment vertical="center"/>
    </xf>
    <xf numFmtId="167" fontId="8" fillId="0" borderId="0" xfId="1" applyNumberFormat="1" applyFont="1" applyFill="1" applyBorder="1">
      <alignment vertical="center"/>
    </xf>
    <xf numFmtId="41" fontId="8" fillId="0" borderId="0" xfId="1" applyFont="1" applyFill="1" applyBorder="1">
      <alignment vertical="center"/>
    </xf>
    <xf numFmtId="164" fontId="7" fillId="0" borderId="0" xfId="1" applyNumberFormat="1" applyFont="1">
      <alignment vertical="center"/>
    </xf>
    <xf numFmtId="41" fontId="7" fillId="0" borderId="0" xfId="0" applyNumberFormat="1" applyFont="1">
      <alignment vertical="center"/>
    </xf>
    <xf numFmtId="167" fontId="7" fillId="0" borderId="0" xfId="1" applyNumberFormat="1" applyFont="1">
      <alignment vertical="center"/>
    </xf>
    <xf numFmtId="0" fontId="8" fillId="5" borderId="0" xfId="0" applyFon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>
      <alignment vertical="center"/>
    </xf>
    <xf numFmtId="0" fontId="0" fillId="0" borderId="0" xfId="0" applyBorder="1">
      <alignment vertical="center"/>
    </xf>
    <xf numFmtId="43" fontId="0" fillId="0" borderId="0" xfId="0" applyNumberFormat="1" applyBorder="1">
      <alignment vertical="center"/>
    </xf>
    <xf numFmtId="41" fontId="0" fillId="0" borderId="0" xfId="1" applyFont="1" applyBorder="1">
      <alignment vertical="center"/>
    </xf>
    <xf numFmtId="0" fontId="11" fillId="0" borderId="0" xfId="0" applyFont="1" applyBorder="1">
      <alignment vertical="center"/>
    </xf>
    <xf numFmtId="41" fontId="0" fillId="0" borderId="0" xfId="0" applyNumberFormat="1" applyBorder="1">
      <alignment vertical="center"/>
    </xf>
    <xf numFmtId="0" fontId="0" fillId="0" borderId="8" xfId="0" applyBorder="1">
      <alignment vertical="center"/>
    </xf>
    <xf numFmtId="43" fontId="0" fillId="0" borderId="8" xfId="0" applyNumberFormat="1" applyBorder="1">
      <alignment vertical="center"/>
    </xf>
    <xf numFmtId="173" fontId="0" fillId="0" borderId="8" xfId="0" applyNumberFormat="1" applyBorder="1">
      <alignment vertical="center"/>
    </xf>
    <xf numFmtId="0" fontId="2" fillId="0" borderId="1" xfId="0" applyFont="1" applyBorder="1">
      <alignment vertical="center"/>
    </xf>
    <xf numFmtId="41" fontId="0" fillId="0" borderId="7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173" fontId="0" fillId="0" borderId="0" xfId="0" applyNumberFormat="1" applyBorder="1">
      <alignment vertical="center"/>
    </xf>
    <xf numFmtId="41" fontId="0" fillId="0" borderId="8" xfId="1" applyFont="1" applyBorder="1">
      <alignment vertical="center"/>
    </xf>
    <xf numFmtId="41" fontId="0" fillId="0" borderId="0" xfId="1" applyFont="1" applyBorder="1" applyAlignment="1">
      <alignment vertical="center"/>
    </xf>
    <xf numFmtId="41" fontId="0" fillId="0" borderId="8" xfId="1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3" fontId="0" fillId="0" borderId="0" xfId="0" applyNumberFormat="1" applyBorder="1">
      <alignment vertical="center"/>
    </xf>
    <xf numFmtId="171" fontId="0" fillId="0" borderId="0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3" fontId="0" fillId="0" borderId="8" xfId="0" applyNumberFormat="1" applyBorder="1">
      <alignment vertical="center"/>
    </xf>
    <xf numFmtId="171" fontId="0" fillId="0" borderId="8" xfId="1" applyNumberFormat="1" applyFont="1" applyBorder="1">
      <alignment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1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33D0D-DFF5-4238-86F1-CFD3B64B5240}">
  <dimension ref="B2:S28"/>
  <sheetViews>
    <sheetView workbookViewId="0">
      <selection activeCell="F33" sqref="F33"/>
    </sheetView>
  </sheetViews>
  <sheetFormatPr defaultRowHeight="15"/>
  <cols>
    <col min="2" max="2" width="3.5703125" customWidth="1"/>
    <col min="3" max="3" width="23.140625" bestFit="1" customWidth="1"/>
    <col min="4" max="4" width="11.85546875" bestFit="1" customWidth="1"/>
    <col min="6" max="6" width="10.5703125" customWidth="1"/>
    <col min="9" max="9" width="3.5703125" customWidth="1"/>
    <col min="11" max="11" width="11" bestFit="1" customWidth="1"/>
    <col min="16" max="16" width="3.5703125" customWidth="1"/>
  </cols>
  <sheetData>
    <row r="2" spans="2:19">
      <c r="B2" s="1" t="s">
        <v>54</v>
      </c>
      <c r="I2" s="1" t="s">
        <v>59</v>
      </c>
      <c r="P2" s="1" t="s">
        <v>66</v>
      </c>
    </row>
    <row r="4" spans="2:19">
      <c r="B4">
        <v>1</v>
      </c>
      <c r="C4" s="3" t="s">
        <v>36</v>
      </c>
      <c r="D4">
        <v>0.44</v>
      </c>
      <c r="E4" t="s">
        <v>55</v>
      </c>
      <c r="I4">
        <v>1</v>
      </c>
      <c r="J4" s="3" t="s">
        <v>60</v>
      </c>
      <c r="K4">
        <v>1</v>
      </c>
      <c r="L4" t="s">
        <v>57</v>
      </c>
      <c r="P4">
        <v>1</v>
      </c>
      <c r="Q4" t="s">
        <v>67</v>
      </c>
      <c r="R4" t="s">
        <v>31</v>
      </c>
      <c r="S4" t="s">
        <v>79</v>
      </c>
    </row>
    <row r="5" spans="2:19">
      <c r="C5" s="3"/>
      <c r="D5" s="4">
        <f>D4*3600*24</f>
        <v>38016</v>
      </c>
      <c r="E5" t="s">
        <v>56</v>
      </c>
      <c r="K5" s="51">
        <v>264.17200000000003</v>
      </c>
      <c r="L5" t="s">
        <v>61</v>
      </c>
      <c r="R5">
        <v>1976</v>
      </c>
      <c r="S5">
        <v>2475</v>
      </c>
    </row>
    <row r="6" spans="2:19">
      <c r="C6" s="3"/>
      <c r="D6" s="9">
        <f>D5*365</f>
        <v>13875840</v>
      </c>
      <c r="E6" t="s">
        <v>20</v>
      </c>
      <c r="R6">
        <v>1978</v>
      </c>
      <c r="S6">
        <v>2776</v>
      </c>
    </row>
    <row r="7" spans="2:19">
      <c r="C7" s="3"/>
      <c r="D7" s="50">
        <f>D5*K5/1000000</f>
        <v>10.042762752</v>
      </c>
      <c r="E7" t="s">
        <v>58</v>
      </c>
      <c r="I7">
        <v>2</v>
      </c>
      <c r="J7" t="s">
        <v>68</v>
      </c>
      <c r="K7">
        <v>1</v>
      </c>
      <c r="L7" t="s">
        <v>131</v>
      </c>
      <c r="R7">
        <v>2020</v>
      </c>
      <c r="S7">
        <v>12463</v>
      </c>
    </row>
    <row r="8" spans="2:19">
      <c r="K8" s="50">
        <v>4046.8560000000002</v>
      </c>
      <c r="L8" t="s">
        <v>62</v>
      </c>
    </row>
    <row r="9" spans="2:19">
      <c r="B9">
        <v>2</v>
      </c>
      <c r="C9" s="3" t="s">
        <v>68</v>
      </c>
      <c r="D9" s="9">
        <f>21.0251*(D6/365)^0.722</f>
        <v>42606.300349739329</v>
      </c>
      <c r="E9" t="s">
        <v>62</v>
      </c>
      <c r="K9">
        <v>1</v>
      </c>
      <c r="L9" t="s">
        <v>47</v>
      </c>
    </row>
    <row r="10" spans="2:19">
      <c r="K10" s="51">
        <v>10.7639</v>
      </c>
      <c r="L10" t="s">
        <v>136</v>
      </c>
    </row>
    <row r="11" spans="2:19">
      <c r="B11">
        <v>3</v>
      </c>
      <c r="C11" s="3" t="s">
        <v>64</v>
      </c>
      <c r="D11">
        <f>24*365</f>
        <v>8760</v>
      </c>
      <c r="E11" t="s">
        <v>65</v>
      </c>
      <c r="I11">
        <v>3</v>
      </c>
      <c r="J11" t="s">
        <v>162</v>
      </c>
      <c r="K11">
        <v>1</v>
      </c>
      <c r="L11" t="s">
        <v>163</v>
      </c>
    </row>
    <row r="12" spans="2:19">
      <c r="B12">
        <v>4</v>
      </c>
      <c r="C12" s="3" t="s">
        <v>26</v>
      </c>
      <c r="D12">
        <v>20</v>
      </c>
      <c r="E12" t="s">
        <v>27</v>
      </c>
      <c r="K12" s="51">
        <v>293.07100000000003</v>
      </c>
      <c r="L12" t="s">
        <v>137</v>
      </c>
    </row>
    <row r="13" spans="2:19">
      <c r="B13">
        <v>5</v>
      </c>
      <c r="C13" s="3" t="s">
        <v>63</v>
      </c>
      <c r="D13">
        <v>0.08</v>
      </c>
    </row>
    <row r="14" spans="2:19">
      <c r="B14">
        <v>6</v>
      </c>
      <c r="C14" s="3" t="s">
        <v>18</v>
      </c>
      <c r="D14" s="10">
        <f>(D13*((1+D13)^D12))/((1+D13)^D12-1)</f>
        <v>0.10185220882315059</v>
      </c>
    </row>
    <row r="16" spans="2:19">
      <c r="C16" s="2"/>
      <c r="D16" s="41"/>
    </row>
    <row r="17" spans="2:9">
      <c r="B17" s="1" t="s">
        <v>105</v>
      </c>
      <c r="I17" s="4"/>
    </row>
    <row r="18" spans="2:9">
      <c r="F18" s="2" t="s">
        <v>5</v>
      </c>
    </row>
    <row r="19" spans="2:9">
      <c r="B19">
        <v>1</v>
      </c>
      <c r="C19" t="s">
        <v>104</v>
      </c>
      <c r="D19" s="41">
        <v>6.6699999999999995E-2</v>
      </c>
      <c r="E19" t="s">
        <v>17</v>
      </c>
    </row>
    <row r="20" spans="2:9">
      <c r="B20">
        <v>2</v>
      </c>
      <c r="C20" t="s">
        <v>44</v>
      </c>
      <c r="D20" s="41">
        <f>AVERAGE(234, 309, 443)/0.907185/1000</f>
        <v>0.3622928803570018</v>
      </c>
      <c r="E20" t="s">
        <v>113</v>
      </c>
      <c r="F20" t="s">
        <v>123</v>
      </c>
    </row>
    <row r="21" spans="2:9">
      <c r="B21">
        <v>3</v>
      </c>
      <c r="C21" t="s">
        <v>122</v>
      </c>
      <c r="D21" s="41">
        <f>100/1000</f>
        <v>0.1</v>
      </c>
      <c r="E21" t="s">
        <v>113</v>
      </c>
    </row>
    <row r="22" spans="2:9">
      <c r="B22">
        <v>4</v>
      </c>
      <c r="C22" t="s">
        <v>85</v>
      </c>
      <c r="D22" s="41">
        <f>1.3/0.4536</f>
        <v>2.8659611992945329</v>
      </c>
      <c r="E22" t="s">
        <v>113</v>
      </c>
      <c r="F22" t="s">
        <v>166</v>
      </c>
    </row>
    <row r="23" spans="2:9">
      <c r="B23">
        <v>5</v>
      </c>
      <c r="C23" t="s">
        <v>111</v>
      </c>
      <c r="D23" s="41">
        <f>137/1000</f>
        <v>0.13700000000000001</v>
      </c>
      <c r="E23" t="s">
        <v>113</v>
      </c>
      <c r="F23" t="s">
        <v>166</v>
      </c>
    </row>
    <row r="24" spans="2:9">
      <c r="B24">
        <v>6</v>
      </c>
      <c r="C24" t="s">
        <v>112</v>
      </c>
      <c r="D24" s="41">
        <v>51.5</v>
      </c>
      <c r="E24" t="s">
        <v>114</v>
      </c>
      <c r="F24" t="s">
        <v>166</v>
      </c>
    </row>
    <row r="25" spans="2:9">
      <c r="B25">
        <v>7</v>
      </c>
      <c r="C25" t="s">
        <v>129</v>
      </c>
      <c r="D25">
        <v>20000</v>
      </c>
      <c r="E25" t="s">
        <v>130</v>
      </c>
      <c r="F25" t="s">
        <v>166</v>
      </c>
    </row>
    <row r="26" spans="2:9">
      <c r="D26" s="5">
        <f>D25/K8</f>
        <v>4.9421081451872757</v>
      </c>
      <c r="E26" t="s">
        <v>132</v>
      </c>
    </row>
    <row r="27" spans="2:9">
      <c r="B27">
        <v>8</v>
      </c>
      <c r="C27" t="s">
        <v>153</v>
      </c>
      <c r="D27" s="41">
        <f>AVERAGE(2.8, 2.9, 4)</f>
        <v>3.2333333333333329</v>
      </c>
      <c r="E27" t="s">
        <v>161</v>
      </c>
      <c r="F27" t="s">
        <v>123</v>
      </c>
    </row>
    <row r="28" spans="2:9">
      <c r="D28" s="5">
        <f>D27/K12</f>
        <v>1.1032593922064389E-2</v>
      </c>
      <c r="E28" t="s">
        <v>164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90F4-5251-407E-953A-7A253580CA00}">
  <dimension ref="B3:N23"/>
  <sheetViews>
    <sheetView tabSelected="1" zoomScale="115" zoomScaleNormal="115" workbookViewId="0">
      <selection activeCell="K20" sqref="K20"/>
    </sheetView>
  </sheetViews>
  <sheetFormatPr defaultRowHeight="15"/>
  <cols>
    <col min="2" max="2" width="4.42578125" customWidth="1"/>
    <col min="3" max="3" width="30.5703125" customWidth="1"/>
    <col min="4" max="12" width="15.5703125" customWidth="1"/>
    <col min="13" max="13" width="13.140625" bestFit="1" customWidth="1"/>
  </cols>
  <sheetData>
    <row r="3" spans="2:14" ht="30">
      <c r="C3" s="11" t="s">
        <v>0</v>
      </c>
      <c r="D3" s="15" t="s">
        <v>82</v>
      </c>
      <c r="E3" s="23" t="s">
        <v>83</v>
      </c>
      <c r="F3" s="23" t="s">
        <v>84</v>
      </c>
      <c r="H3" s="23"/>
      <c r="K3" s="23"/>
    </row>
    <row r="4" spans="2:14">
      <c r="B4" s="2"/>
      <c r="C4" s="11" t="s">
        <v>25</v>
      </c>
      <c r="D4" s="13">
        <f>'Capital cost'!J7</f>
        <v>3.7009053035052364E-2</v>
      </c>
      <c r="E4" s="61">
        <f>'O&amp;M cost'!G6</f>
        <v>1.1201914510928704E-2</v>
      </c>
      <c r="F4" s="61">
        <f>D4+E4</f>
        <v>4.8210967545981066E-2</v>
      </c>
      <c r="H4" s="24"/>
      <c r="K4" s="25"/>
      <c r="L4" s="102"/>
      <c r="M4" s="102"/>
      <c r="N4" s="102"/>
    </row>
    <row r="5" spans="2:14">
      <c r="B5" s="2"/>
      <c r="C5" s="19" t="s">
        <v>1</v>
      </c>
      <c r="D5" s="13">
        <f>'Capital cost'!J8</f>
        <v>2.4518199045949349E-2</v>
      </c>
      <c r="E5" s="61">
        <f>'O&amp;M cost'!G7</f>
        <v>3.7508885469176756E-3</v>
      </c>
      <c r="F5" s="61">
        <f t="shared" ref="F5:F8" si="0">D5+E5</f>
        <v>2.8269087592867025E-2</v>
      </c>
      <c r="H5" s="24"/>
      <c r="K5" s="25"/>
      <c r="L5" s="102"/>
      <c r="M5" s="102"/>
      <c r="N5" s="102"/>
    </row>
    <row r="6" spans="2:14">
      <c r="B6" s="2"/>
      <c r="C6" s="11" t="s">
        <v>2</v>
      </c>
      <c r="D6" s="13">
        <f>'Capital cost'!J9</f>
        <v>3.9842597802775839E-2</v>
      </c>
      <c r="E6" s="61">
        <f>'O&amp;M cost'!G8</f>
        <v>5.8233123162589016E-3</v>
      </c>
      <c r="F6" s="61">
        <f t="shared" si="0"/>
        <v>4.5665910119034744E-2</v>
      </c>
      <c r="H6" s="24"/>
      <c r="K6" s="25"/>
      <c r="L6" s="102"/>
      <c r="M6" s="102"/>
      <c r="N6" s="102"/>
    </row>
    <row r="7" spans="2:14">
      <c r="B7" s="2"/>
      <c r="C7" s="11" t="s">
        <v>3</v>
      </c>
      <c r="D7" s="13">
        <f>'Capital cost'!J10</f>
        <v>0.19338661841952687</v>
      </c>
      <c r="E7" s="61">
        <f>'O&amp;M cost'!G9</f>
        <v>3.9570919151705734E-2</v>
      </c>
      <c r="F7" s="61">
        <f t="shared" si="0"/>
        <v>0.23295753757123261</v>
      </c>
      <c r="H7" s="24"/>
      <c r="K7" s="25"/>
      <c r="L7" s="102"/>
      <c r="M7" s="102"/>
      <c r="N7" s="102"/>
    </row>
    <row r="8" spans="2:14">
      <c r="B8" s="2"/>
      <c r="C8" s="11" t="s">
        <v>24</v>
      </c>
      <c r="D8" s="13">
        <f>'Capital cost'!J11</f>
        <v>1.8727398468499801E-2</v>
      </c>
      <c r="E8" s="61">
        <f>'O&amp;M cost'!G10</f>
        <v>4.3814320320839564E-3</v>
      </c>
      <c r="F8" s="61">
        <f t="shared" si="0"/>
        <v>2.3108830500583759E-2</v>
      </c>
      <c r="H8" s="24"/>
      <c r="K8" s="25"/>
      <c r="L8" s="102"/>
      <c r="M8" s="102"/>
      <c r="N8" s="102"/>
    </row>
    <row r="9" spans="2:14">
      <c r="C9" s="11" t="s">
        <v>172</v>
      </c>
      <c r="D9" s="13">
        <f>'Capital cost'!J12</f>
        <v>2.2942695901431758E-2</v>
      </c>
      <c r="E9" s="61">
        <f>'O&amp;M cost'!G11</f>
        <v>3.0741978311206505E-3</v>
      </c>
      <c r="F9" s="61">
        <f>D9+E9</f>
        <v>2.6016893732552407E-2</v>
      </c>
      <c r="H9" s="24"/>
      <c r="K9" s="25"/>
      <c r="L9" s="102"/>
      <c r="M9" s="102"/>
      <c r="N9" s="102"/>
    </row>
    <row r="10" spans="2:14">
      <c r="C10" s="11" t="s">
        <v>22</v>
      </c>
      <c r="D10" s="13">
        <f>'Capital cost'!J13</f>
        <v>0.14836326631229779</v>
      </c>
      <c r="E10" s="61">
        <f>'O&amp;M cost'!G12</f>
        <v>2.1654432274281807E-2</v>
      </c>
      <c r="F10" s="61">
        <f>D10+E10</f>
        <v>0.17001769858657961</v>
      </c>
      <c r="H10" s="24"/>
      <c r="K10" s="25"/>
      <c r="L10" s="102"/>
      <c r="M10" s="102"/>
      <c r="N10" s="102"/>
    </row>
    <row r="11" spans="2:14">
      <c r="B11" s="2"/>
      <c r="C11" s="11" t="s">
        <v>170</v>
      </c>
      <c r="D11" s="13">
        <f>'Capital cost'!J14</f>
        <v>5.1857485868430885E-2</v>
      </c>
      <c r="E11" s="61">
        <f>'O&amp;M cost'!G13</f>
        <v>2.9172556273166578E-2</v>
      </c>
      <c r="F11" s="61">
        <f>D11+E11</f>
        <v>8.1030042141597466E-2</v>
      </c>
      <c r="H11" s="24"/>
      <c r="K11" s="26"/>
      <c r="L11" s="102"/>
      <c r="M11" s="102"/>
      <c r="N11" s="102"/>
    </row>
    <row r="12" spans="2:14">
      <c r="B12" s="2"/>
      <c r="C12" s="11" t="s">
        <v>167</v>
      </c>
      <c r="D12" s="13">
        <f>'Capital cost'!J15</f>
        <v>0.17511618573650212</v>
      </c>
      <c r="E12" s="13">
        <f>'O&amp;M cost'!G14</f>
        <v>2.3281176568564751E-2</v>
      </c>
      <c r="F12" s="61">
        <f>D12+E12</f>
        <v>0.19839736230506688</v>
      </c>
      <c r="H12" s="24"/>
      <c r="K12" s="25"/>
      <c r="L12" s="102"/>
      <c r="M12" s="102"/>
      <c r="N12" s="102"/>
    </row>
    <row r="13" spans="2:14">
      <c r="B13" s="2"/>
      <c r="C13" s="11" t="s">
        <v>8</v>
      </c>
      <c r="D13" s="13">
        <f>'Capital cost'!J16</f>
        <v>4.8584901431121583E-2</v>
      </c>
      <c r="E13" s="61">
        <f>'O&amp;M cost'!G15</f>
        <v>1.0880619799441046E-2</v>
      </c>
      <c r="F13" s="61">
        <f>D13+E13</f>
        <v>5.9465521230562632E-2</v>
      </c>
      <c r="H13" s="24"/>
      <c r="K13" s="25"/>
      <c r="L13" s="102"/>
      <c r="M13" s="102"/>
      <c r="N13" s="102"/>
    </row>
    <row r="14" spans="2:14">
      <c r="B14" s="2"/>
      <c r="C14" s="11"/>
      <c r="D14" s="13"/>
      <c r="E14" s="61"/>
      <c r="F14" s="61"/>
      <c r="K14" s="25"/>
      <c r="L14" s="102"/>
      <c r="M14" s="102"/>
      <c r="N14" s="102"/>
    </row>
    <row r="15" spans="2:14">
      <c r="C15" s="11"/>
      <c r="D15" s="13"/>
      <c r="E15" s="13"/>
      <c r="F15" s="13"/>
      <c r="K15" s="25"/>
      <c r="L15" s="102"/>
      <c r="M15" s="102"/>
      <c r="N15" s="102"/>
    </row>
    <row r="16" spans="2:14">
      <c r="C16" s="11" t="s">
        <v>4</v>
      </c>
      <c r="D16" s="13">
        <f>SUM(D4:D14)</f>
        <v>0.76034840202158838</v>
      </c>
      <c r="E16" s="61">
        <f>SUM(E4:E14)</f>
        <v>0.15279144930446981</v>
      </c>
      <c r="F16" s="61">
        <f>D16+E16</f>
        <v>0.91313985132605824</v>
      </c>
      <c r="K16" s="25"/>
      <c r="L16" s="102"/>
      <c r="M16" s="102"/>
      <c r="N16" s="102"/>
    </row>
    <row r="17" spans="3:14">
      <c r="C17" s="11" t="s">
        <v>107</v>
      </c>
      <c r="D17" s="13"/>
      <c r="E17" s="13">
        <f>Biogas!D21</f>
        <v>8.2078424242631022E-4</v>
      </c>
      <c r="F17" s="61">
        <f>D17+E17</f>
        <v>8.2078424242631022E-4</v>
      </c>
      <c r="L17" s="102"/>
      <c r="M17" s="102"/>
      <c r="N17" s="102"/>
    </row>
    <row r="18" spans="3:14">
      <c r="C18" s="11"/>
      <c r="D18" s="13"/>
      <c r="E18" s="13"/>
      <c r="F18" s="13"/>
      <c r="L18" s="102"/>
      <c r="M18" s="102"/>
      <c r="N18" s="102"/>
    </row>
    <row r="19" spans="3:14">
      <c r="C19" s="11" t="s">
        <v>108</v>
      </c>
      <c r="D19" s="13"/>
      <c r="E19" s="13"/>
      <c r="F19" s="13">
        <f>F16-F17</f>
        <v>0.91231906708363197</v>
      </c>
      <c r="L19" s="102"/>
      <c r="M19" s="102"/>
      <c r="N19" s="102"/>
    </row>
    <row r="21" spans="3:14">
      <c r="D21" s="22"/>
    </row>
    <row r="23" spans="3:14">
      <c r="D23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0E699-7B4E-42DA-AAEE-E6B33525D502}">
  <sheetPr>
    <tabColor theme="5" tint="0.39997558519241921"/>
  </sheetPr>
  <dimension ref="A2:T48"/>
  <sheetViews>
    <sheetView topLeftCell="A10" zoomScaleNormal="100" workbookViewId="0">
      <selection activeCell="J31" sqref="J31"/>
    </sheetView>
  </sheetViews>
  <sheetFormatPr defaultRowHeight="15"/>
  <cols>
    <col min="2" max="2" width="5.140625" customWidth="1"/>
    <col min="3" max="3" width="31.28515625" customWidth="1"/>
    <col min="4" max="4" width="15.7109375" customWidth="1"/>
    <col min="5" max="5" width="10.7109375" customWidth="1"/>
    <col min="6" max="6" width="15.7109375" customWidth="1"/>
    <col min="7" max="7" width="10.7109375" customWidth="1"/>
    <col min="8" max="8" width="15.7109375" customWidth="1"/>
    <col min="9" max="11" width="15.5703125" customWidth="1"/>
    <col min="12" max="12" width="10.42578125" customWidth="1"/>
    <col min="13" max="13" width="15.5703125" customWidth="1"/>
    <col min="14" max="14" width="4.85546875" customWidth="1"/>
    <col min="15" max="15" width="20.42578125" customWidth="1"/>
    <col min="16" max="18" width="15.5703125" customWidth="1"/>
    <col min="19" max="19" width="14.7109375" customWidth="1"/>
    <col min="20" max="20" width="12" customWidth="1"/>
  </cols>
  <sheetData>
    <row r="2" spans="1:20">
      <c r="C2" s="2" t="s">
        <v>36</v>
      </c>
    </row>
    <row r="3" spans="1:20" ht="17.25">
      <c r="C3" s="9">
        <f>capa_mgd</f>
        <v>10.042762752</v>
      </c>
      <c r="D3" t="s">
        <v>32</v>
      </c>
      <c r="E3" s="16" t="s">
        <v>34</v>
      </c>
      <c r="H3" s="2" t="s">
        <v>18</v>
      </c>
      <c r="I3" s="10">
        <f>ccr</f>
        <v>0.10185220882315059</v>
      </c>
    </row>
    <row r="4" spans="1:20">
      <c r="E4" t="s">
        <v>35</v>
      </c>
    </row>
    <row r="6" spans="1:20" ht="45">
      <c r="C6" s="52" t="s">
        <v>40</v>
      </c>
      <c r="D6" s="2" t="s">
        <v>9</v>
      </c>
      <c r="E6" s="2" t="s">
        <v>52</v>
      </c>
      <c r="F6" s="15" t="s">
        <v>50</v>
      </c>
      <c r="G6" s="15" t="s">
        <v>28</v>
      </c>
      <c r="H6" s="15" t="s">
        <v>51</v>
      </c>
      <c r="I6" s="15" t="s">
        <v>80</v>
      </c>
      <c r="J6" s="15" t="s">
        <v>81</v>
      </c>
      <c r="K6" s="15" t="s">
        <v>128</v>
      </c>
      <c r="L6" s="2" t="s">
        <v>5</v>
      </c>
      <c r="M6" s="2" t="s">
        <v>29</v>
      </c>
      <c r="O6" s="2"/>
    </row>
    <row r="7" spans="1:20">
      <c r="A7" s="2"/>
      <c r="B7" s="2"/>
      <c r="C7" s="11" t="s">
        <v>25</v>
      </c>
      <c r="D7" s="20">
        <f>1.31*10^5</f>
        <v>131000</v>
      </c>
      <c r="E7" s="21">
        <v>0.63</v>
      </c>
      <c r="F7" s="20">
        <f>D7*($C$3^E7)</f>
        <v>560323.46961205057</v>
      </c>
      <c r="G7">
        <v>1978</v>
      </c>
      <c r="H7" s="20">
        <f t="shared" ref="H7:H13" si="0">F7/$H$35*$H$36</f>
        <v>2515602.0899765799</v>
      </c>
      <c r="I7" s="4">
        <f>H7*'Capital cost'!$I$3</f>
        <v>256219.62938424866</v>
      </c>
      <c r="J7" s="14">
        <f t="shared" ref="J7:J16" si="1">I7*contingency/capa_cmy</f>
        <v>3.7009053035052364E-2</v>
      </c>
      <c r="K7" s="35">
        <f t="shared" ref="K7:K16" si="2">I7/SUM($I$7:$I$16)</f>
        <v>4.867380918622826E-2</v>
      </c>
      <c r="L7" s="40">
        <v>1</v>
      </c>
      <c r="S7" s="1"/>
      <c r="T7" s="4"/>
    </row>
    <row r="8" spans="1:20">
      <c r="C8" s="19" t="s">
        <v>1</v>
      </c>
      <c r="D8" s="20">
        <f>6.43*10^4</f>
        <v>64300</v>
      </c>
      <c r="E8" s="21">
        <v>0.76</v>
      </c>
      <c r="F8" s="20">
        <f>D8*($C$3^E8)</f>
        <v>371209.77791713353</v>
      </c>
      <c r="G8">
        <v>1978</v>
      </c>
      <c r="H8" s="20">
        <f t="shared" si="0"/>
        <v>1666566.0886820012</v>
      </c>
      <c r="I8" s="4">
        <f>H8*'Capital cost'!$I$3</f>
        <v>169743.43728202049</v>
      </c>
      <c r="J8" s="14">
        <f t="shared" si="1"/>
        <v>2.4518199045949349E-2</v>
      </c>
      <c r="K8" s="35">
        <f t="shared" si="2"/>
        <v>3.2246005884619733E-2</v>
      </c>
      <c r="L8" s="40">
        <v>1</v>
      </c>
    </row>
    <row r="9" spans="1:20">
      <c r="C9" s="11" t="s">
        <v>2</v>
      </c>
      <c r="D9" s="20">
        <f>1.2*10^5</f>
        <v>120000</v>
      </c>
      <c r="E9" s="21">
        <v>0.7</v>
      </c>
      <c r="F9" s="20">
        <f>D9*($C$3^E9)</f>
        <v>603223.82791217044</v>
      </c>
      <c r="G9">
        <v>1978</v>
      </c>
      <c r="H9" s="20">
        <f t="shared" si="0"/>
        <v>2708205.5357598634</v>
      </c>
      <c r="I9" s="4">
        <f>H9*'Capital cost'!$I$3</f>
        <v>275836.71576422604</v>
      </c>
      <c r="J9" s="14">
        <f t="shared" si="1"/>
        <v>3.9842597802775839E-2</v>
      </c>
      <c r="K9" s="35">
        <f t="shared" si="2"/>
        <v>5.2400449184668116E-2</v>
      </c>
      <c r="L9" s="40">
        <v>1</v>
      </c>
    </row>
    <row r="10" spans="1:20">
      <c r="C10" s="11" t="s">
        <v>3</v>
      </c>
      <c r="D10" s="20">
        <f>5.19*10^5</f>
        <v>519000.00000000006</v>
      </c>
      <c r="E10" s="21">
        <v>0.75</v>
      </c>
      <c r="F10" s="20">
        <f>D10*($C$3^E10)</f>
        <v>2927906.8801555363</v>
      </c>
      <c r="G10">
        <v>1978</v>
      </c>
      <c r="H10" s="20">
        <f t="shared" si="0"/>
        <v>13144994.037240077</v>
      </c>
      <c r="I10" s="4">
        <f>H10*'Capital cost'!$I$3</f>
        <v>1338846.6776600457</v>
      </c>
      <c r="J10" s="14">
        <f t="shared" si="1"/>
        <v>0.19338661841952687</v>
      </c>
      <c r="K10" s="35">
        <f t="shared" si="2"/>
        <v>0.25433948161837011</v>
      </c>
      <c r="L10" s="40">
        <v>1</v>
      </c>
    </row>
    <row r="11" spans="1:20">
      <c r="C11" s="11" t="s">
        <v>24</v>
      </c>
      <c r="D11" s="20">
        <f>6.33*10^4</f>
        <v>63300</v>
      </c>
      <c r="E11" s="21">
        <v>0.65</v>
      </c>
      <c r="F11" s="20">
        <f>D11*($C$3^E11)</f>
        <v>283536.05472527491</v>
      </c>
      <c r="G11">
        <v>1978</v>
      </c>
      <c r="H11" s="20">
        <f t="shared" si="0"/>
        <v>1272950.234164662</v>
      </c>
      <c r="I11" s="4">
        <f>H11*'Capital cost'!$I$3</f>
        <v>129652.79307161759</v>
      </c>
      <c r="J11" s="14">
        <f t="shared" si="1"/>
        <v>1.8727398468499801E-2</v>
      </c>
      <c r="K11" s="35">
        <f t="shared" si="2"/>
        <v>2.4630022787853614E-2</v>
      </c>
      <c r="L11" s="40">
        <v>1</v>
      </c>
      <c r="O11" s="2"/>
    </row>
    <row r="12" spans="1:20">
      <c r="C12" s="19" t="s">
        <v>10</v>
      </c>
      <c r="D12" s="20">
        <f>6.91*10^4</f>
        <v>69100</v>
      </c>
      <c r="E12" s="21">
        <v>0.7</v>
      </c>
      <c r="F12" s="20">
        <f>D12*($C$3^E12)</f>
        <v>347356.38757275819</v>
      </c>
      <c r="G12">
        <v>1978</v>
      </c>
      <c r="H12" s="20">
        <f t="shared" si="0"/>
        <v>1559475.0210083881</v>
      </c>
      <c r="I12" s="4">
        <f>H12*'Capital cost'!$I$3</f>
        <v>158835.97549423351</v>
      </c>
      <c r="J12" s="14">
        <f t="shared" si="1"/>
        <v>2.2942695901431758E-2</v>
      </c>
      <c r="K12" s="35">
        <f t="shared" si="2"/>
        <v>3.0173925322171391E-2</v>
      </c>
      <c r="L12" s="40">
        <v>1</v>
      </c>
      <c r="O12" s="2"/>
    </row>
    <row r="13" spans="1:20">
      <c r="C13" s="19" t="s">
        <v>11</v>
      </c>
      <c r="D13" s="20">
        <f>2.69*10^5</f>
        <v>269000</v>
      </c>
      <c r="E13" s="21">
        <v>0.92</v>
      </c>
      <c r="F13" s="20">
        <f>D13*($C$3^E13)</f>
        <v>2246245.5352301812</v>
      </c>
      <c r="G13">
        <v>1978</v>
      </c>
      <c r="H13" s="20">
        <f t="shared" si="0"/>
        <v>10084639.087022243</v>
      </c>
      <c r="I13" s="4">
        <f>H13*'Capital cost'!$I$3</f>
        <v>1027142.7661974962</v>
      </c>
      <c r="J13" s="14">
        <f t="shared" si="1"/>
        <v>0.14836326631229779</v>
      </c>
      <c r="K13" s="35">
        <f t="shared" si="2"/>
        <v>0.19512537399675547</v>
      </c>
      <c r="L13" s="40">
        <v>1</v>
      </c>
    </row>
    <row r="14" spans="1:20">
      <c r="C14" s="19" t="s">
        <v>170</v>
      </c>
      <c r="D14" s="19"/>
      <c r="E14" s="19"/>
      <c r="F14" s="20">
        <v>700000</v>
      </c>
      <c r="G14">
        <v>1976</v>
      </c>
      <c r="H14" s="20">
        <f>F14/$H$34*$H$36</f>
        <v>3524888.888888889</v>
      </c>
      <c r="I14" s="4">
        <f>H14*'Capital cost'!$I$3</f>
        <v>359017.71918951435</v>
      </c>
      <c r="J14" s="14">
        <f>I14*contingency/capa_cmy</f>
        <v>5.1857485868430885E-2</v>
      </c>
      <c r="K14" s="35">
        <f t="shared" si="2"/>
        <v>6.8202268500274318E-2</v>
      </c>
      <c r="L14" s="40">
        <v>2</v>
      </c>
    </row>
    <row r="15" spans="1:20">
      <c r="C15" s="19" t="s">
        <v>167</v>
      </c>
      <c r="D15" s="20">
        <f>2.64*10^5</f>
        <v>264000</v>
      </c>
      <c r="E15" s="19">
        <v>1</v>
      </c>
      <c r="F15" s="20">
        <f>D15*($C$3^E15)</f>
        <v>2651289.3665279998</v>
      </c>
      <c r="G15">
        <v>1978</v>
      </c>
      <c r="H15" s="20">
        <f>F15/$H$35*$H$36</f>
        <v>11903104.962189646</v>
      </c>
      <c r="I15" s="4">
        <f>H15*'Capital cost'!$I$3</f>
        <v>1212357.53225282</v>
      </c>
      <c r="J15" s="14">
        <f t="shared" si="1"/>
        <v>0.17511618573650212</v>
      </c>
      <c r="K15" s="35">
        <f t="shared" si="2"/>
        <v>0.23031045409040013</v>
      </c>
      <c r="L15" s="40">
        <v>1</v>
      </c>
    </row>
    <row r="16" spans="1:20">
      <c r="C16" s="19" t="s">
        <v>171</v>
      </c>
      <c r="D16" s="20">
        <f>1.93*10^5</f>
        <v>193000</v>
      </c>
      <c r="E16" s="21">
        <v>0.57999999999999996</v>
      </c>
      <c r="F16" s="20">
        <f>D16*($C$3^E16)</f>
        <v>735583.81823121954</v>
      </c>
      <c r="G16">
        <v>1978</v>
      </c>
      <c r="H16" s="20">
        <f>F16/$H$35*$H$36</f>
        <v>3302442.7689537788</v>
      </c>
      <c r="I16" s="4">
        <f>H16*'Capital cost'!$I$3</f>
        <v>336361.09052998392</v>
      </c>
      <c r="J16" s="14">
        <f t="shared" si="1"/>
        <v>4.8584901431121583E-2</v>
      </c>
      <c r="K16" s="35">
        <f t="shared" si="2"/>
        <v>6.3898209428658898E-2</v>
      </c>
      <c r="L16" s="40">
        <v>1</v>
      </c>
      <c r="O16" s="2"/>
      <c r="P16" s="9"/>
      <c r="Q16" s="5"/>
    </row>
    <row r="17" spans="3:16">
      <c r="C17" s="52" t="s">
        <v>39</v>
      </c>
      <c r="I17" s="4"/>
      <c r="J17" s="14"/>
      <c r="K17" s="35"/>
      <c r="L17" s="11"/>
      <c r="O17" s="2"/>
      <c r="P17" s="41"/>
    </row>
    <row r="18" spans="3:16">
      <c r="C18" s="19" t="s">
        <v>12</v>
      </c>
      <c r="D18" s="20">
        <f>6.34*10^4</f>
        <v>63400</v>
      </c>
      <c r="E18" s="19">
        <v>0.69</v>
      </c>
      <c r="F18" s="20">
        <f>D18*($C$3^E18)</f>
        <v>311435.3942320699</v>
      </c>
      <c r="G18">
        <v>1978</v>
      </c>
      <c r="H18" s="20">
        <f t="shared" ref="H18:H23" si="3">F18/$H$35*$H$36</f>
        <v>1398205.8063091813</v>
      </c>
      <c r="I18" s="4">
        <f>H18*'Capital cost'!$I$3</f>
        <v>142410.34976194438</v>
      </c>
      <c r="J18" s="14"/>
      <c r="K18" s="35"/>
      <c r="L18" s="40">
        <v>1</v>
      </c>
      <c r="M18" s="59"/>
    </row>
    <row r="19" spans="3:16">
      <c r="C19" s="19" t="s">
        <v>38</v>
      </c>
      <c r="D19" s="20">
        <f>1.965*10^5</f>
        <v>196500</v>
      </c>
      <c r="E19" s="19">
        <v>0.66</v>
      </c>
      <c r="F19" s="20">
        <f>D19*($C$3^E19)</f>
        <v>900711.41925646644</v>
      </c>
      <c r="G19">
        <v>1978</v>
      </c>
      <c r="H19" s="20">
        <f t="shared" si="3"/>
        <v>4043791.9373895321</v>
      </c>
      <c r="I19" s="4">
        <f>H19*'Capital cost'!$I$3</f>
        <v>411869.14084437134</v>
      </c>
      <c r="J19" s="14"/>
      <c r="K19" s="35"/>
      <c r="L19" s="40">
        <v>1</v>
      </c>
      <c r="M19" s="20"/>
    </row>
    <row r="20" spans="3:16">
      <c r="C20" s="19" t="s">
        <v>13</v>
      </c>
      <c r="D20" s="20">
        <f>6.6*10^4</f>
        <v>66000</v>
      </c>
      <c r="E20" s="19">
        <v>0.56999999999999995</v>
      </c>
      <c r="F20" s="20">
        <f>D20*($C$3^E20)</f>
        <v>245810.40442154196</v>
      </c>
      <c r="G20">
        <v>1978</v>
      </c>
      <c r="H20" s="20">
        <f t="shared" si="3"/>
        <v>1103578.9158161662</v>
      </c>
      <c r="I20" s="4">
        <f>H20*'Capital cost'!$I$3</f>
        <v>112401.95018653429</v>
      </c>
      <c r="J20" s="14"/>
      <c r="K20" s="35"/>
      <c r="L20" s="20">
        <v>1</v>
      </c>
    </row>
    <row r="21" spans="3:16">
      <c r="C21" s="19" t="s">
        <v>14</v>
      </c>
      <c r="D21" s="20">
        <f>1.67*10^5</f>
        <v>167000</v>
      </c>
      <c r="E21" s="19">
        <v>0.73</v>
      </c>
      <c r="F21" s="20">
        <f>D21*($C$3^E21)</f>
        <v>899641.14459430741</v>
      </c>
      <c r="G21">
        <v>1978</v>
      </c>
      <c r="H21" s="20">
        <f t="shared" si="3"/>
        <v>4038986.8822330167</v>
      </c>
      <c r="I21" s="4">
        <f>H21*'Capital cost'!$I$3</f>
        <v>411379.73536316317</v>
      </c>
      <c r="J21" s="14"/>
      <c r="K21" s="35"/>
      <c r="L21" s="40">
        <v>1</v>
      </c>
      <c r="M21" s="20"/>
    </row>
    <row r="22" spans="3:16">
      <c r="C22" s="19" t="s">
        <v>15</v>
      </c>
      <c r="D22" s="20">
        <f>7.78*10^4</f>
        <v>77800</v>
      </c>
      <c r="E22" s="19">
        <v>0.78</v>
      </c>
      <c r="F22" s="20">
        <f>D22*($C$3^E22)</f>
        <v>470354.27478493901</v>
      </c>
      <c r="G22">
        <v>1978</v>
      </c>
      <c r="H22" s="20">
        <f t="shared" si="3"/>
        <v>2111680.5931717199</v>
      </c>
      <c r="I22" s="4">
        <f>H22*'Capital cost'!$I$3</f>
        <v>215079.33274352053</v>
      </c>
      <c r="J22" s="14"/>
      <c r="K22" s="35"/>
      <c r="L22" s="20">
        <v>1</v>
      </c>
      <c r="M22" s="20"/>
    </row>
    <row r="23" spans="3:16">
      <c r="C23" s="19" t="s">
        <v>16</v>
      </c>
      <c r="D23" s="20">
        <f>2.23*10^5</f>
        <v>223000</v>
      </c>
      <c r="E23" s="19">
        <v>0.77</v>
      </c>
      <c r="F23" s="20">
        <f>D23*($C$3^E23)</f>
        <v>1317442.9854289126</v>
      </c>
      <c r="G23">
        <v>1978</v>
      </c>
      <c r="H23" s="20">
        <f t="shared" si="3"/>
        <v>5914730.5213978887</v>
      </c>
      <c r="I23" s="4">
        <f>H23*'Capital cost'!$I$3</f>
        <v>602428.3681980801</v>
      </c>
      <c r="J23" s="14"/>
      <c r="K23" s="35"/>
      <c r="L23" s="20">
        <v>1</v>
      </c>
      <c r="M23" s="19"/>
    </row>
    <row r="24" spans="3:16">
      <c r="C24" s="7" t="s">
        <v>41</v>
      </c>
      <c r="F24" s="37">
        <f>SUM(F7:F23)</f>
        <v>15572070.74060256</v>
      </c>
      <c r="H24" s="37">
        <f>SUM(H7:H23)</f>
        <v>70293843.370203629</v>
      </c>
      <c r="I24" s="4">
        <f>H24*'Capital cost'!$I$3</f>
        <v>7159583.2139238194</v>
      </c>
      <c r="K24" s="35"/>
    </row>
    <row r="25" spans="3:16">
      <c r="C25" s="36" t="s">
        <v>69</v>
      </c>
      <c r="D25" s="38">
        <f>20%+2.33%+5.55%</f>
        <v>0.27879999999999999</v>
      </c>
      <c r="E25" t="s">
        <v>70</v>
      </c>
      <c r="F25" s="20">
        <f>F24*$D$25</f>
        <v>4341493.322479994</v>
      </c>
      <c r="G25" s="4"/>
      <c r="H25" s="20">
        <f>H24*$D$25</f>
        <v>19597923.531612772</v>
      </c>
      <c r="I25" s="4">
        <f>H25*'Capital cost'!$I$3</f>
        <v>1996091.800041961</v>
      </c>
    </row>
    <row r="26" spans="3:16">
      <c r="C26" t="s">
        <v>42</v>
      </c>
      <c r="D26" s="34"/>
      <c r="H26" s="4">
        <f>plant_area*'Assumptions and parameters'!D26</f>
        <v>210564.94399474221</v>
      </c>
      <c r="I26" s="4">
        <f>H26*'Capital cost'!$I$3</f>
        <v>21446.504646587491</v>
      </c>
    </row>
    <row r="27" spans="3:16">
      <c r="C27" t="s">
        <v>133</v>
      </c>
      <c r="D27" s="34">
        <v>0.15</v>
      </c>
      <c r="E27" t="s">
        <v>134</v>
      </c>
      <c r="H27" s="4">
        <f>SUM(H24:H25)*D27</f>
        <v>13483765.035272459</v>
      </c>
      <c r="I27" s="4">
        <f>H27*'Capital cost'!$I$3</f>
        <v>1373351.2520948669</v>
      </c>
    </row>
    <row r="28" spans="3:16">
      <c r="C28" s="39" t="s">
        <v>43</v>
      </c>
      <c r="H28" s="9">
        <f>SUM(H24:H27)</f>
        <v>103586096.88108361</v>
      </c>
      <c r="I28" s="9">
        <f>SUM(I24:I27)</f>
        <v>10550472.770707235</v>
      </c>
      <c r="J28" s="22">
        <f>SUM(J7:J16)</f>
        <v>0.76034840202158838</v>
      </c>
      <c r="K28" s="14"/>
    </row>
    <row r="30" spans="3:16">
      <c r="C30" s="1" t="s">
        <v>165</v>
      </c>
    </row>
    <row r="31" spans="3:16">
      <c r="C31" s="10">
        <f>H28/SUM(H7:H16)</f>
        <v>2.0042636846366104</v>
      </c>
    </row>
    <row r="32" spans="3:16" ht="15.75" thickBot="1"/>
    <row r="33" spans="2:16">
      <c r="B33" s="2" t="s">
        <v>5</v>
      </c>
      <c r="G33" s="27" t="s">
        <v>31</v>
      </c>
      <c r="H33" s="28" t="s">
        <v>30</v>
      </c>
      <c r="I33" s="38"/>
    </row>
    <row r="34" spans="2:16">
      <c r="B34">
        <v>1</v>
      </c>
      <c r="C34" s="8" t="s">
        <v>7</v>
      </c>
      <c r="G34" s="29">
        <v>1976</v>
      </c>
      <c r="H34" s="30">
        <v>2475</v>
      </c>
    </row>
    <row r="35" spans="2:16">
      <c r="B35">
        <v>2</v>
      </c>
      <c r="C35" t="s">
        <v>6</v>
      </c>
      <c r="G35" s="31">
        <v>1978</v>
      </c>
      <c r="H35" s="30">
        <v>2776</v>
      </c>
      <c r="N35" s="1"/>
      <c r="P35" s="1"/>
    </row>
    <row r="36" spans="2:16" ht="15.75" thickBot="1">
      <c r="D36" s="35"/>
      <c r="E36" s="12"/>
      <c r="G36" s="32">
        <v>2020</v>
      </c>
      <c r="H36" s="33">
        <v>12463</v>
      </c>
      <c r="I36" s="38"/>
      <c r="N36" s="1"/>
    </row>
    <row r="37" spans="2:16">
      <c r="E37" s="12"/>
      <c r="F37" s="19"/>
      <c r="G37" s="20"/>
      <c r="H37" s="20"/>
      <c r="I37" s="38"/>
    </row>
    <row r="38" spans="2:16">
      <c r="E38" s="12"/>
      <c r="H38" s="20"/>
    </row>
    <row r="39" spans="2:16">
      <c r="E39" s="12"/>
      <c r="H39" s="20"/>
    </row>
    <row r="42" spans="2:16">
      <c r="E42" s="12"/>
      <c r="H42" s="4"/>
    </row>
    <row r="44" spans="2:16">
      <c r="D44" s="35"/>
      <c r="E44" s="12"/>
      <c r="H44" s="4"/>
    </row>
    <row r="45" spans="2:16">
      <c r="D45" s="35"/>
      <c r="E45" s="12"/>
      <c r="H45" s="4"/>
    </row>
    <row r="46" spans="2:16">
      <c r="H46" s="4"/>
    </row>
    <row r="47" spans="2:16">
      <c r="H47" s="4"/>
    </row>
    <row r="48" spans="2:16">
      <c r="C48" s="4"/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58A7-0073-4FD0-B056-2786E691BA0A}">
  <dimension ref="B3:L27"/>
  <sheetViews>
    <sheetView workbookViewId="0">
      <selection activeCell="H32" sqref="H32"/>
    </sheetView>
  </sheetViews>
  <sheetFormatPr defaultRowHeight="15"/>
  <cols>
    <col min="2" max="2" width="3" customWidth="1"/>
    <col min="3" max="3" width="12" customWidth="1"/>
    <col min="4" max="4" width="14.42578125" customWidth="1"/>
    <col min="5" max="5" width="9.28515625" bestFit="1" customWidth="1"/>
    <col min="6" max="6" width="12" bestFit="1" customWidth="1"/>
    <col min="7" max="7" width="11.5703125" bestFit="1" customWidth="1"/>
    <col min="12" max="12" width="11" bestFit="1" customWidth="1"/>
    <col min="14" max="14" width="11" bestFit="1" customWidth="1"/>
  </cols>
  <sheetData>
    <row r="3" spans="2:8">
      <c r="B3" s="2" t="s">
        <v>36</v>
      </c>
      <c r="E3" s="2" t="s">
        <v>78</v>
      </c>
    </row>
    <row r="4" spans="2:8">
      <c r="C4" s="11">
        <v>230400</v>
      </c>
      <c r="D4" t="s">
        <v>49</v>
      </c>
      <c r="E4" s="4">
        <f>0.839*1000*(C4/1000)^0.722</f>
        <v>42606.347737375618</v>
      </c>
      <c r="F4" t="s">
        <v>47</v>
      </c>
      <c r="G4" t="s">
        <v>76</v>
      </c>
    </row>
    <row r="5" spans="2:8">
      <c r="C5">
        <f>C4*0.165</f>
        <v>38016</v>
      </c>
      <c r="D5" t="s">
        <v>48</v>
      </c>
      <c r="E5" s="4">
        <f>H6*(C5)^0.722</f>
        <v>42606.34773737564</v>
      </c>
      <c r="F5" t="s">
        <v>47</v>
      </c>
      <c r="G5" t="s">
        <v>77</v>
      </c>
    </row>
    <row r="6" spans="2:8">
      <c r="G6" s="2" t="s">
        <v>75</v>
      </c>
      <c r="H6" s="13">
        <v>21.025123384564818</v>
      </c>
    </row>
    <row r="9" spans="2:8">
      <c r="B9" s="2" t="s">
        <v>5</v>
      </c>
    </row>
    <row r="10" spans="2:8">
      <c r="B10">
        <v>3</v>
      </c>
      <c r="C10" t="s">
        <v>116</v>
      </c>
    </row>
    <row r="11" spans="2:8">
      <c r="B11">
        <v>4</v>
      </c>
      <c r="C11" t="s">
        <v>115</v>
      </c>
    </row>
    <row r="22" spans="4:12">
      <c r="D22" s="2"/>
      <c r="L22" s="2"/>
    </row>
    <row r="23" spans="4:12">
      <c r="F23" s="4"/>
    </row>
    <row r="24" spans="4:12">
      <c r="F24" s="4"/>
    </row>
    <row r="25" spans="4:12">
      <c r="F25" s="4"/>
      <c r="H25" s="2"/>
    </row>
    <row r="27" spans="4:12">
      <c r="L27" s="4"/>
    </row>
  </sheetData>
  <phoneticPr fontId="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E228-F451-4C60-B0FC-538784C11F4C}">
  <sheetPr>
    <tabColor theme="9" tint="0.39997558519241921"/>
  </sheetPr>
  <dimension ref="B2:T46"/>
  <sheetViews>
    <sheetView zoomScaleNormal="100" workbookViewId="0">
      <selection activeCell="E24" sqref="E24"/>
    </sheetView>
  </sheetViews>
  <sheetFormatPr defaultRowHeight="15"/>
  <cols>
    <col min="2" max="2" width="3.7109375" customWidth="1"/>
    <col min="3" max="3" width="30.7109375" customWidth="1"/>
    <col min="4" max="8" width="15.5703125" customWidth="1"/>
    <col min="9" max="9" width="21" customWidth="1"/>
    <col min="10" max="10" width="3.85546875" customWidth="1"/>
    <col min="11" max="11" width="29" customWidth="1"/>
    <col min="12" max="15" width="15.5703125" customWidth="1"/>
    <col min="16" max="16" width="3.140625" customWidth="1"/>
    <col min="17" max="17" width="12.7109375" customWidth="1"/>
    <col min="18" max="18" width="10.85546875" bestFit="1" customWidth="1"/>
  </cols>
  <sheetData>
    <row r="2" spans="2:19">
      <c r="B2" s="2" t="s">
        <v>36</v>
      </c>
      <c r="D2">
        <f>capa_cmd</f>
        <v>38016</v>
      </c>
      <c r="E2" t="s">
        <v>72</v>
      </c>
    </row>
    <row r="3" spans="2:19">
      <c r="D3" s="50">
        <f>capa_mgd</f>
        <v>10.042762752</v>
      </c>
      <c r="E3" t="s">
        <v>94</v>
      </c>
    </row>
    <row r="5" spans="2:19" ht="45.75" thickBot="1">
      <c r="D5" s="56" t="s">
        <v>120</v>
      </c>
      <c r="E5" s="56" t="s">
        <v>124</v>
      </c>
      <c r="F5" s="1" t="s">
        <v>125</v>
      </c>
      <c r="G5" s="56" t="s">
        <v>93</v>
      </c>
      <c r="H5" s="56"/>
    </row>
    <row r="6" spans="2:19">
      <c r="B6" s="2"/>
      <c r="C6" s="2" t="s">
        <v>25</v>
      </c>
      <c r="D6" s="13">
        <f>N8</f>
        <v>3.8599537037037031E-3</v>
      </c>
      <c r="E6" s="22">
        <f>O29</f>
        <v>2.421717171717172E-3</v>
      </c>
      <c r="F6" s="22">
        <f>$L$38*'Capital cost'!K7</f>
        <v>4.920243635507829E-3</v>
      </c>
      <c r="G6" s="22">
        <f>SUM(D6:F6)</f>
        <v>1.1201914510928704E-2</v>
      </c>
      <c r="J6" s="78" t="s">
        <v>102</v>
      </c>
      <c r="K6" s="68"/>
      <c r="L6" s="68"/>
      <c r="M6" s="68"/>
      <c r="N6" s="68"/>
      <c r="O6" s="68"/>
      <c r="P6" s="68"/>
      <c r="Q6" s="80" t="s">
        <v>5</v>
      </c>
    </row>
    <row r="7" spans="2:19">
      <c r="B7" s="2"/>
      <c r="C7" s="6" t="s">
        <v>1</v>
      </c>
      <c r="D7" s="13">
        <f>N9</f>
        <v>4.9126683501683494E-4</v>
      </c>
      <c r="E7" s="22"/>
      <c r="F7" s="22">
        <f>$L$38*'Capital cost'!K8</f>
        <v>3.2596217119008407E-3</v>
      </c>
      <c r="G7" s="22">
        <f t="shared" ref="G7:G10" si="0">SUM(D7:F7)</f>
        <v>3.7508885469176756E-3</v>
      </c>
      <c r="J7" s="31"/>
      <c r="K7" s="81" t="s">
        <v>88</v>
      </c>
      <c r="L7" s="46" t="s">
        <v>106</v>
      </c>
      <c r="M7" s="81" t="s">
        <v>103</v>
      </c>
      <c r="N7" s="81" t="s">
        <v>119</v>
      </c>
      <c r="O7" s="70"/>
      <c r="P7" s="70"/>
      <c r="Q7" s="30"/>
    </row>
    <row r="8" spans="2:19">
      <c r="B8" s="2"/>
      <c r="C8" s="2" t="s">
        <v>2</v>
      </c>
      <c r="D8" s="13">
        <f>N10</f>
        <v>5.2635732323232315E-4</v>
      </c>
      <c r="E8" s="22"/>
      <c r="F8" s="22">
        <f>$L$38*'Capital cost'!K9</f>
        <v>5.2969549930265781E-3</v>
      </c>
      <c r="G8" s="22">
        <f t="shared" si="0"/>
        <v>5.8233123162589016E-3</v>
      </c>
      <c r="J8" s="86"/>
      <c r="K8" s="87" t="s">
        <v>25</v>
      </c>
      <c r="L8" s="88">
        <f>Electricity!D7</f>
        <v>2200</v>
      </c>
      <c r="M8" s="89">
        <f>L8*price_elec</f>
        <v>146.73999999999998</v>
      </c>
      <c r="N8" s="82">
        <f>M8/$D$2</f>
        <v>3.8599537037037031E-3</v>
      </c>
      <c r="O8" s="70"/>
      <c r="P8" s="70"/>
      <c r="Q8" s="95">
        <v>6</v>
      </c>
      <c r="R8" s="58"/>
      <c r="S8" s="42"/>
    </row>
    <row r="9" spans="2:19">
      <c r="B9" s="2"/>
      <c r="C9" s="2" t="s">
        <v>3</v>
      </c>
      <c r="D9" s="13">
        <f>N11</f>
        <v>1.3860742845117844E-2</v>
      </c>
      <c r="E9" s="22"/>
      <c r="F9" s="22">
        <f>$L$38*'Capital cost'!K10</f>
        <v>2.5710176306587892E-2</v>
      </c>
      <c r="G9" s="22">
        <f t="shared" si="0"/>
        <v>3.9570919151705734E-2</v>
      </c>
      <c r="J9" s="86"/>
      <c r="K9" s="90" t="s">
        <v>1</v>
      </c>
      <c r="L9" s="88">
        <f>Electricity!D8</f>
        <v>280</v>
      </c>
      <c r="M9" s="89">
        <f>L9*price_elec</f>
        <v>18.675999999999998</v>
      </c>
      <c r="N9" s="82">
        <f>M9/$D$2</f>
        <v>4.9126683501683494E-4</v>
      </c>
      <c r="O9" s="70"/>
      <c r="P9" s="70"/>
      <c r="Q9" s="95">
        <v>6</v>
      </c>
      <c r="S9" s="42"/>
    </row>
    <row r="10" spans="2:19">
      <c r="B10" s="2"/>
      <c r="C10" s="2" t="s">
        <v>24</v>
      </c>
      <c r="D10" s="13">
        <f>N12</f>
        <v>8.0978049728049731E-5</v>
      </c>
      <c r="E10" s="22">
        <f>O22</f>
        <v>1.8107020009425069E-3</v>
      </c>
      <c r="F10" s="22">
        <f>$L$38*'Capital cost'!K11</f>
        <v>2.4897519814133994E-3</v>
      </c>
      <c r="G10" s="22">
        <f t="shared" si="0"/>
        <v>4.3814320320839564E-3</v>
      </c>
      <c r="J10" s="86"/>
      <c r="K10" s="87" t="s">
        <v>2</v>
      </c>
      <c r="L10" s="88">
        <f>Electricity!D9</f>
        <v>300</v>
      </c>
      <c r="M10" s="89">
        <f>L10*price_elec</f>
        <v>20.009999999999998</v>
      </c>
      <c r="N10" s="82">
        <f>M10/$D$2</f>
        <v>5.2635732323232315E-4</v>
      </c>
      <c r="O10" s="70"/>
      <c r="P10" s="70"/>
      <c r="Q10" s="95">
        <v>6</v>
      </c>
      <c r="S10" s="42"/>
    </row>
    <row r="11" spans="2:19">
      <c r="B11" s="2"/>
      <c r="C11" s="2" t="s">
        <v>172</v>
      </c>
      <c r="D11" s="13">
        <f>N13</f>
        <v>2.4034580969512475E-5</v>
      </c>
      <c r="E11" s="22"/>
      <c r="F11" s="22">
        <f>$L$38*'Capital cost'!K12</f>
        <v>3.0501632501511379E-3</v>
      </c>
      <c r="G11" s="22">
        <f>SUM(D11:F11)</f>
        <v>3.0741978311206505E-3</v>
      </c>
      <c r="J11" s="86"/>
      <c r="K11" s="87" t="s">
        <v>3</v>
      </c>
      <c r="L11" s="88">
        <f>Electricity!D10+Electricity!D11</f>
        <v>7900</v>
      </c>
      <c r="M11" s="89">
        <f>L11*price_elec</f>
        <v>526.92999999999995</v>
      </c>
      <c r="N11" s="82">
        <f>M11/$D$2</f>
        <v>1.3860742845117844E-2</v>
      </c>
      <c r="O11" s="70"/>
      <c r="P11" s="70"/>
      <c r="Q11" s="95">
        <v>6</v>
      </c>
      <c r="S11" s="42"/>
    </row>
    <row r="12" spans="2:19">
      <c r="C12" s="2" t="s">
        <v>22</v>
      </c>
      <c r="D12" s="13">
        <f>N14</f>
        <v>1.9299768518518516E-3</v>
      </c>
      <c r="E12" s="22"/>
      <c r="F12" s="22">
        <f>$L$38*'Capital cost'!K13</f>
        <v>1.9724455422429954E-2</v>
      </c>
      <c r="G12" s="22">
        <f>SUM(D12:F12)</f>
        <v>2.1654432274281807E-2</v>
      </c>
      <c r="J12" s="86"/>
      <c r="K12" s="87" t="s">
        <v>24</v>
      </c>
      <c r="L12" s="88">
        <f>Electricity!D12</f>
        <v>46.153846153846153</v>
      </c>
      <c r="M12" s="89">
        <f>L12*price_elec</f>
        <v>3.0784615384615384</v>
      </c>
      <c r="N12" s="82">
        <f>M12/$D$2</f>
        <v>8.0978049728049731E-5</v>
      </c>
      <c r="O12" s="70"/>
      <c r="P12" s="70"/>
      <c r="Q12" s="95" t="s">
        <v>138</v>
      </c>
      <c r="S12" s="42"/>
    </row>
    <row r="13" spans="2:19">
      <c r="C13" s="2" t="s">
        <v>170</v>
      </c>
      <c r="D13" s="13">
        <f>N15</f>
        <v>8.0708122895622894E-4</v>
      </c>
      <c r="E13" s="22">
        <f>O23+O24+O30</f>
        <v>2.1471176382855173E-2</v>
      </c>
      <c r="F13" s="22">
        <f>$L$38*'Capital cost'!K14</f>
        <v>6.8942986613551764E-3</v>
      </c>
      <c r="G13" s="22">
        <f>SUM(D13:F13)</f>
        <v>2.9172556273166578E-2</v>
      </c>
      <c r="J13" s="86"/>
      <c r="K13" s="87" t="s">
        <v>172</v>
      </c>
      <c r="L13" s="88">
        <f>Electricity!D13</f>
        <v>13.698630136986301</v>
      </c>
      <c r="M13" s="89">
        <f>L13*price_elec</f>
        <v>0.91369863013698627</v>
      </c>
      <c r="N13" s="82">
        <f>M13/$D$2</f>
        <v>2.4034580969512475E-5</v>
      </c>
      <c r="O13" s="70"/>
      <c r="P13" s="70"/>
      <c r="Q13" s="95" t="s">
        <v>139</v>
      </c>
      <c r="S13" s="45"/>
    </row>
    <row r="14" spans="2:19">
      <c r="B14" s="2"/>
      <c r="C14" s="2" t="s">
        <v>167</v>
      </c>
      <c r="F14" s="22">
        <f>$L$38*'Capital cost'!K15</f>
        <v>2.3281176568564751E-2</v>
      </c>
      <c r="G14" s="22">
        <f>SUM(D14:F14)</f>
        <v>2.3281176568564751E-2</v>
      </c>
      <c r="J14" s="86"/>
      <c r="K14" s="87" t="s">
        <v>22</v>
      </c>
      <c r="L14" s="88">
        <f>Electricity!D14</f>
        <v>1100</v>
      </c>
      <c r="M14" s="89">
        <f>L14*price_elec</f>
        <v>73.36999999999999</v>
      </c>
      <c r="N14" s="82">
        <f>M14/$D$2</f>
        <v>1.9299768518518516E-3</v>
      </c>
      <c r="O14" s="70"/>
      <c r="P14" s="70"/>
      <c r="Q14" s="95">
        <v>6</v>
      </c>
      <c r="S14" s="44"/>
    </row>
    <row r="15" spans="2:19">
      <c r="B15" s="2"/>
      <c r="C15" s="2" t="s">
        <v>171</v>
      </c>
      <c r="D15" s="13">
        <f>N16</f>
        <v>4.4214015151515145E-3</v>
      </c>
      <c r="E15" s="22"/>
      <c r="F15" s="22">
        <f>$L$38*'Capital cost'!K16</f>
        <v>6.4592182842895304E-3</v>
      </c>
      <c r="G15" s="22">
        <f>SUM(D15:F15)</f>
        <v>1.0880619799441046E-2</v>
      </c>
      <c r="J15" s="86"/>
      <c r="K15" s="87" t="s">
        <v>170</v>
      </c>
      <c r="L15" s="88">
        <f>Electricity!D15</f>
        <v>460</v>
      </c>
      <c r="M15" s="89">
        <f>L15*price_elec</f>
        <v>30.681999999999999</v>
      </c>
      <c r="N15" s="82">
        <f>M15/$D$2</f>
        <v>8.0708122895622894E-4</v>
      </c>
      <c r="O15" s="70"/>
      <c r="P15" s="70"/>
      <c r="Q15" s="95">
        <v>6</v>
      </c>
      <c r="S15" s="42"/>
    </row>
    <row r="16" spans="2:19" ht="15.75" thickBot="1">
      <c r="B16" s="2"/>
      <c r="C16" s="2"/>
      <c r="D16" s="22"/>
      <c r="E16" s="22"/>
      <c r="F16" s="22"/>
      <c r="G16" s="22"/>
      <c r="J16" s="91"/>
      <c r="K16" s="92" t="s">
        <v>171</v>
      </c>
      <c r="L16" s="93">
        <f>Electricity!D16+Electricity!D17</f>
        <v>2520</v>
      </c>
      <c r="M16" s="94">
        <f>L16*price_elec</f>
        <v>168.08399999999997</v>
      </c>
      <c r="N16" s="77">
        <f>M16/$D$2</f>
        <v>4.4214015151515145E-3</v>
      </c>
      <c r="O16" s="75"/>
      <c r="P16" s="75"/>
      <c r="Q16" s="96">
        <v>6</v>
      </c>
      <c r="S16" s="42"/>
    </row>
    <row r="17" spans="2:20">
      <c r="B17" s="2"/>
      <c r="C17" s="1" t="s">
        <v>126</v>
      </c>
      <c r="D17" s="22">
        <f>SUM(D6:D15)</f>
        <v>2.6001792933727862E-2</v>
      </c>
      <c r="E17" s="22">
        <f>SUM(E6:E15)</f>
        <v>2.5703595555514852E-2</v>
      </c>
      <c r="F17" s="22">
        <f>SUM(F6:F15)</f>
        <v>0.10108606081522709</v>
      </c>
      <c r="G17" s="22">
        <f>SUM(G6:G15)</f>
        <v>0.15279144930446981</v>
      </c>
      <c r="J17" s="3"/>
      <c r="S17" s="42"/>
    </row>
    <row r="18" spans="2:20">
      <c r="S18" s="42"/>
    </row>
    <row r="19" spans="2:20" ht="15.75" thickBot="1">
      <c r="F19" s="60"/>
    </row>
    <row r="20" spans="2:20">
      <c r="J20" s="78" t="s">
        <v>87</v>
      </c>
      <c r="K20" s="68"/>
      <c r="L20" s="68"/>
      <c r="M20" s="68"/>
      <c r="N20" s="68"/>
      <c r="O20" s="68"/>
      <c r="P20" s="68"/>
      <c r="Q20" s="80" t="s">
        <v>5</v>
      </c>
    </row>
    <row r="21" spans="2:20">
      <c r="J21" s="31"/>
      <c r="K21" s="81" t="s">
        <v>88</v>
      </c>
      <c r="L21" s="81" t="s">
        <v>45</v>
      </c>
      <c r="M21" s="81" t="s">
        <v>92</v>
      </c>
      <c r="N21" s="81" t="s">
        <v>103</v>
      </c>
      <c r="O21" s="81" t="s">
        <v>119</v>
      </c>
      <c r="P21" s="70"/>
      <c r="Q21" s="97"/>
    </row>
    <row r="22" spans="2:20">
      <c r="J22" s="31"/>
      <c r="K22" s="70" t="s">
        <v>90</v>
      </c>
      <c r="L22" s="70" t="s">
        <v>121</v>
      </c>
      <c r="M22" s="84">
        <v>190</v>
      </c>
      <c r="N22" s="72">
        <f>M22*price_cl</f>
        <v>68.835647267830339</v>
      </c>
      <c r="O22" s="82">
        <f>N22/$D$2</f>
        <v>1.8107020009425069E-3</v>
      </c>
      <c r="P22" s="70"/>
      <c r="Q22" s="98">
        <v>1</v>
      </c>
    </row>
    <row r="23" spans="2:20">
      <c r="J23" s="31"/>
      <c r="K23" s="70" t="s">
        <v>91</v>
      </c>
      <c r="L23" s="70" t="s">
        <v>122</v>
      </c>
      <c r="M23" s="84">
        <f>287*5/7</f>
        <v>205</v>
      </c>
      <c r="N23" s="72">
        <f>M23*price_lime</f>
        <v>20.5</v>
      </c>
      <c r="O23" s="82">
        <f>N23/$D$2</f>
        <v>5.3924663299663304E-4</v>
      </c>
      <c r="P23" s="70"/>
      <c r="Q23" s="98">
        <v>1</v>
      </c>
    </row>
    <row r="24" spans="2:20" ht="15.75" thickBot="1">
      <c r="J24" s="32"/>
      <c r="K24" s="75"/>
      <c r="L24" s="75" t="s">
        <v>85</v>
      </c>
      <c r="M24" s="85">
        <f>115*5/7</f>
        <v>82.142857142857139</v>
      </c>
      <c r="N24" s="83">
        <f>M24*price_polymer</f>
        <v>235.41824137062233</v>
      </c>
      <c r="O24" s="77">
        <f>N24/$D$2</f>
        <v>6.1926094636632553E-3</v>
      </c>
      <c r="P24" s="75"/>
      <c r="Q24" s="99">
        <v>1</v>
      </c>
    </row>
    <row r="26" spans="2:20" ht="15.75" thickBot="1"/>
    <row r="27" spans="2:20">
      <c r="J27" s="78" t="s">
        <v>89</v>
      </c>
      <c r="K27" s="68"/>
      <c r="L27" s="68"/>
      <c r="M27" s="68"/>
      <c r="N27" s="79"/>
      <c r="O27" s="79"/>
      <c r="P27" s="68"/>
      <c r="Q27" s="80" t="s">
        <v>5</v>
      </c>
    </row>
    <row r="28" spans="2:20">
      <c r="J28" s="31"/>
      <c r="K28" s="81" t="s">
        <v>88</v>
      </c>
      <c r="L28" s="81" t="s">
        <v>45</v>
      </c>
      <c r="M28" s="81" t="s">
        <v>92</v>
      </c>
      <c r="N28" s="81" t="s">
        <v>103</v>
      </c>
      <c r="O28" s="81" t="s">
        <v>119</v>
      </c>
      <c r="P28" s="70"/>
      <c r="Q28" s="98"/>
      <c r="R28" s="3"/>
      <c r="T28" s="4"/>
    </row>
    <row r="29" spans="2:20">
      <c r="J29" s="31"/>
      <c r="K29" s="70" t="s">
        <v>86</v>
      </c>
      <c r="L29" s="70" t="s">
        <v>109</v>
      </c>
      <c r="M29" s="70">
        <f>0.7*960</f>
        <v>672</v>
      </c>
      <c r="N29" s="72">
        <f>M29*price_disposal</f>
        <v>92.064000000000007</v>
      </c>
      <c r="O29" s="82">
        <f t="shared" ref="O29:O30" si="1">N29/$D$2</f>
        <v>2.421717171717172E-3</v>
      </c>
      <c r="P29" s="70"/>
      <c r="Q29" s="98">
        <v>1</v>
      </c>
    </row>
    <row r="30" spans="2:20" ht="15.75" thickBot="1">
      <c r="J30" s="32"/>
      <c r="K30" s="75" t="s">
        <v>91</v>
      </c>
      <c r="L30" s="75" t="s">
        <v>110</v>
      </c>
      <c r="M30" s="75">
        <v>4090</v>
      </c>
      <c r="N30" s="83">
        <f>M30*price_disposal</f>
        <v>560.33000000000004</v>
      </c>
      <c r="O30" s="77">
        <f t="shared" si="1"/>
        <v>1.4739320286195286E-2</v>
      </c>
      <c r="P30" s="75"/>
      <c r="Q30" s="100">
        <v>1</v>
      </c>
    </row>
    <row r="32" spans="2:20" ht="15.75" thickBot="1"/>
    <row r="33" spans="10:17">
      <c r="J33" s="27" t="s">
        <v>46</v>
      </c>
      <c r="K33" s="68"/>
      <c r="L33" s="68"/>
      <c r="M33" s="68"/>
      <c r="N33" s="68"/>
      <c r="O33" s="68"/>
      <c r="P33" s="68"/>
      <c r="Q33" s="69" t="s">
        <v>117</v>
      </c>
    </row>
    <row r="34" spans="10:17">
      <c r="J34" s="31"/>
      <c r="K34" s="70" t="s">
        <v>53</v>
      </c>
      <c r="L34" s="71">
        <f>(10^2.043)*(D3^0.6737)</f>
        <v>522.33424884780015</v>
      </c>
      <c r="M34" s="70" t="s">
        <v>97</v>
      </c>
      <c r="N34" s="70"/>
      <c r="O34" s="70"/>
      <c r="P34" s="70"/>
      <c r="Q34" s="98">
        <v>5</v>
      </c>
    </row>
    <row r="35" spans="10:17">
      <c r="J35" s="31"/>
      <c r="K35" s="70" t="s">
        <v>96</v>
      </c>
      <c r="L35" s="72">
        <f>L34*(365/7)</f>
        <v>27236.000118492437</v>
      </c>
      <c r="M35" s="70" t="s">
        <v>98</v>
      </c>
      <c r="N35" s="70"/>
      <c r="O35" s="70"/>
      <c r="P35" s="70"/>
      <c r="Q35" s="98"/>
    </row>
    <row r="36" spans="10:17">
      <c r="J36" s="31"/>
      <c r="K36" s="70" t="s">
        <v>95</v>
      </c>
      <c r="L36" s="73">
        <v>51.5</v>
      </c>
      <c r="M36" s="70" t="s">
        <v>99</v>
      </c>
      <c r="N36" s="70"/>
      <c r="O36" s="70"/>
      <c r="P36" s="70"/>
      <c r="Q36" s="98"/>
    </row>
    <row r="37" spans="10:17">
      <c r="J37" s="31"/>
      <c r="K37" s="70" t="s">
        <v>100</v>
      </c>
      <c r="L37" s="74">
        <f>L35*L36</f>
        <v>1402654.0061023606</v>
      </c>
      <c r="M37" s="70" t="s">
        <v>101</v>
      </c>
      <c r="N37" s="70"/>
      <c r="O37" s="70"/>
      <c r="P37" s="70"/>
      <c r="Q37" s="98"/>
    </row>
    <row r="38" spans="10:17" ht="15.75" thickBot="1">
      <c r="J38" s="32"/>
      <c r="K38" s="75"/>
      <c r="L38" s="76">
        <f>L37/capa_cmy</f>
        <v>0.10108606081522709</v>
      </c>
      <c r="M38" s="75" t="s">
        <v>127</v>
      </c>
      <c r="N38" s="75"/>
      <c r="O38" s="77"/>
      <c r="P38" s="75"/>
      <c r="Q38" s="99"/>
    </row>
    <row r="39" spans="10:17">
      <c r="J39" s="1"/>
    </row>
    <row r="40" spans="10:17">
      <c r="J40" s="1" t="s">
        <v>117</v>
      </c>
    </row>
    <row r="41" spans="10:17">
      <c r="J41" s="101">
        <v>1</v>
      </c>
      <c r="K41" s="8" t="s">
        <v>7</v>
      </c>
    </row>
    <row r="42" spans="10:17">
      <c r="J42" s="101">
        <v>2</v>
      </c>
      <c r="K42" t="s">
        <v>6</v>
      </c>
    </row>
    <row r="43" spans="10:17">
      <c r="J43" s="101">
        <v>5</v>
      </c>
      <c r="K43" t="s">
        <v>118</v>
      </c>
    </row>
    <row r="44" spans="10:17">
      <c r="J44" s="101">
        <v>6</v>
      </c>
      <c r="K44" t="s">
        <v>21</v>
      </c>
    </row>
    <row r="45" spans="10:17">
      <c r="J45" s="101">
        <v>7</v>
      </c>
      <c r="K45" t="s">
        <v>33</v>
      </c>
    </row>
    <row r="46" spans="10:17">
      <c r="J46" s="101">
        <v>8</v>
      </c>
      <c r="K46" t="s">
        <v>140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CC859-2144-4E2F-8EDC-7AD0E6B9B0E7}">
  <dimension ref="B2:S38"/>
  <sheetViews>
    <sheetView zoomScaleNormal="100" workbookViewId="0">
      <selection activeCell="G32" sqref="G32"/>
    </sheetView>
  </sheetViews>
  <sheetFormatPr defaultRowHeight="15"/>
  <cols>
    <col min="2" max="2" width="3.85546875" style="16" customWidth="1"/>
    <col min="3" max="3" width="24.85546875" customWidth="1"/>
    <col min="4" max="4" width="16.7109375" customWidth="1"/>
    <col min="5" max="6" width="15.5703125" customWidth="1"/>
    <col min="7" max="7" width="11.140625" customWidth="1"/>
    <col min="8" max="9" width="10.5703125" customWidth="1"/>
    <col min="10" max="16" width="9" customWidth="1"/>
  </cols>
  <sheetData>
    <row r="2" spans="2:15">
      <c r="C2" s="2" t="s">
        <v>36</v>
      </c>
      <c r="H2" s="42"/>
      <c r="I2" s="42"/>
    </row>
    <row r="3" spans="2:15">
      <c r="C3" s="47">
        <f>capa_cmd</f>
        <v>38016</v>
      </c>
      <c r="D3" s="42" t="s">
        <v>72</v>
      </c>
      <c r="I3" s="42"/>
      <c r="M3" s="9"/>
      <c r="O3" s="16"/>
    </row>
    <row r="4" spans="2:15">
      <c r="C4" s="53">
        <f>capa_mgd</f>
        <v>10.042762752</v>
      </c>
      <c r="D4" s="42" t="s">
        <v>71</v>
      </c>
      <c r="I4" s="42"/>
      <c r="M4" s="9"/>
      <c r="O4" s="16"/>
    </row>
    <row r="5" spans="2:15">
      <c r="C5" s="42"/>
      <c r="D5" s="42"/>
      <c r="E5" s="42"/>
      <c r="F5" s="42"/>
      <c r="G5" s="42"/>
      <c r="H5" s="42"/>
      <c r="I5" s="42"/>
    </row>
    <row r="6" spans="2:15">
      <c r="B6" s="17"/>
      <c r="C6" s="43" t="s">
        <v>37</v>
      </c>
      <c r="D6" s="46" t="s">
        <v>19</v>
      </c>
      <c r="E6" s="46" t="s">
        <v>74</v>
      </c>
      <c r="F6" s="57" t="s">
        <v>5</v>
      </c>
      <c r="G6" s="57" t="s">
        <v>29</v>
      </c>
      <c r="K6" s="11"/>
    </row>
    <row r="7" spans="2:15">
      <c r="C7" s="48" t="s">
        <v>25</v>
      </c>
      <c r="D7" s="63">
        <v>2200</v>
      </c>
      <c r="E7" s="55">
        <f>D7/$C$3</f>
        <v>5.7870370370370371E-2</v>
      </c>
      <c r="F7" s="42">
        <v>6</v>
      </c>
      <c r="G7" s="42"/>
      <c r="I7" s="35">
        <f>D7/$D$18</f>
        <v>0.14844952090579946</v>
      </c>
      <c r="K7" s="19"/>
    </row>
    <row r="8" spans="2:15">
      <c r="C8" s="54" t="s">
        <v>1</v>
      </c>
      <c r="D8" s="63">
        <v>280</v>
      </c>
      <c r="E8" s="55">
        <f t="shared" ref="E8:E17" si="0">D8/$C$3</f>
        <v>7.3653198653198656E-3</v>
      </c>
      <c r="F8" s="42">
        <v>6</v>
      </c>
      <c r="G8" s="42"/>
      <c r="I8" s="35">
        <f>D8/$D$18</f>
        <v>1.8893575388010841E-2</v>
      </c>
      <c r="K8" s="19"/>
    </row>
    <row r="9" spans="2:15">
      <c r="C9" s="48" t="s">
        <v>2</v>
      </c>
      <c r="D9" s="63">
        <v>300</v>
      </c>
      <c r="E9" s="55">
        <f t="shared" si="0"/>
        <v>7.8914141414141419E-3</v>
      </c>
      <c r="F9" s="42">
        <v>6</v>
      </c>
      <c r="G9" s="42"/>
      <c r="I9" s="35">
        <f>D9/$D$18</f>
        <v>2.0243116487154472E-2</v>
      </c>
      <c r="K9" s="19"/>
    </row>
    <row r="10" spans="2:15">
      <c r="C10" s="67" t="s">
        <v>173</v>
      </c>
      <c r="D10" s="63">
        <v>7200</v>
      </c>
      <c r="E10" s="55">
        <f t="shared" si="0"/>
        <v>0.18939393939393939</v>
      </c>
      <c r="F10" s="42">
        <v>6</v>
      </c>
      <c r="G10" s="42"/>
      <c r="I10" s="35">
        <f>D10/$D$18</f>
        <v>0.48583479569170734</v>
      </c>
      <c r="K10" s="19"/>
    </row>
    <row r="11" spans="2:15">
      <c r="C11" s="67" t="s">
        <v>174</v>
      </c>
      <c r="D11" s="63">
        <v>700</v>
      </c>
      <c r="E11" s="55">
        <f t="shared" si="0"/>
        <v>1.8413299663299663E-2</v>
      </c>
      <c r="F11" s="42">
        <v>6</v>
      </c>
      <c r="G11" s="42"/>
      <c r="I11" s="35">
        <f>D11/$D$18</f>
        <v>4.7233938470027104E-2</v>
      </c>
      <c r="K11" s="19"/>
    </row>
    <row r="12" spans="2:15">
      <c r="C12" s="48" t="s">
        <v>24</v>
      </c>
      <c r="D12" s="47">
        <f>D7/14.3*0.3</f>
        <v>46.153846153846153</v>
      </c>
      <c r="E12" s="55">
        <f t="shared" si="0"/>
        <v>1.214063714063714E-3</v>
      </c>
      <c r="F12" s="45" t="s">
        <v>138</v>
      </c>
      <c r="G12" s="45" t="s">
        <v>73</v>
      </c>
      <c r="I12" s="35">
        <f>D12/$D$18</f>
        <v>3.1143256134083803E-3</v>
      </c>
      <c r="K12" s="11" t="s">
        <v>155</v>
      </c>
    </row>
    <row r="13" spans="2:15">
      <c r="C13" s="44" t="s">
        <v>135</v>
      </c>
      <c r="D13" s="63">
        <f>5000/365</f>
        <v>13.698630136986301</v>
      </c>
      <c r="E13" s="62">
        <f t="shared" si="0"/>
        <v>3.6033854527005212E-4</v>
      </c>
      <c r="F13" s="44" t="s">
        <v>139</v>
      </c>
      <c r="G13" s="42" t="s">
        <v>154</v>
      </c>
      <c r="I13" s="35">
        <f>D13/$D$18</f>
        <v>9.2434321859152845E-4</v>
      </c>
      <c r="L13" s="4"/>
    </row>
    <row r="14" spans="2:15">
      <c r="C14" s="44" t="s">
        <v>22</v>
      </c>
      <c r="D14" s="63">
        <v>1100</v>
      </c>
      <c r="E14" s="55">
        <f t="shared" si="0"/>
        <v>2.8935185185185185E-2</v>
      </c>
      <c r="F14" s="42">
        <v>6</v>
      </c>
      <c r="G14" s="42"/>
      <c r="I14" s="35">
        <f>D14/$D$18</f>
        <v>7.4224760452899732E-2</v>
      </c>
    </row>
    <row r="15" spans="2:15">
      <c r="C15" s="44" t="s">
        <v>23</v>
      </c>
      <c r="D15" s="63">
        <v>460</v>
      </c>
      <c r="E15" s="55">
        <f t="shared" si="0"/>
        <v>1.2100168350168351E-2</v>
      </c>
      <c r="F15" s="42">
        <v>6</v>
      </c>
      <c r="G15" s="42"/>
      <c r="I15" s="35">
        <f>D15/$D$18</f>
        <v>3.1039445280303526E-2</v>
      </c>
      <c r="K15" s="19"/>
    </row>
    <row r="16" spans="2:15">
      <c r="C16" s="67" t="s">
        <v>175</v>
      </c>
      <c r="D16" s="63">
        <v>420</v>
      </c>
      <c r="E16" s="55">
        <f t="shared" si="0"/>
        <v>1.1047979797979798E-2</v>
      </c>
      <c r="F16" s="42">
        <v>6</v>
      </c>
      <c r="G16" s="42"/>
      <c r="I16" s="35">
        <f>D16/$D$18</f>
        <v>2.8340363082016262E-2</v>
      </c>
      <c r="K16" s="19"/>
    </row>
    <row r="17" spans="2:19">
      <c r="C17" s="67" t="s">
        <v>176</v>
      </c>
      <c r="D17" s="63">
        <v>2100</v>
      </c>
      <c r="E17" s="55">
        <f t="shared" si="0"/>
        <v>5.5239898989898992E-2</v>
      </c>
      <c r="F17" s="42">
        <v>6</v>
      </c>
      <c r="G17" s="42"/>
      <c r="I17" s="35">
        <f>D17/$D$18</f>
        <v>0.14170181541008131</v>
      </c>
      <c r="K17" s="19"/>
    </row>
    <row r="18" spans="2:19">
      <c r="C18" s="42"/>
      <c r="D18" s="47">
        <f>SUM(D7:D17)</f>
        <v>14819.852476290833</v>
      </c>
      <c r="E18" s="55">
        <f>SUM(E7:E17)</f>
        <v>0.38983197801690961</v>
      </c>
      <c r="F18" s="42"/>
      <c r="G18" s="42"/>
      <c r="H18" s="42"/>
      <c r="I18" s="35">
        <f>D18/$D$18</f>
        <v>1</v>
      </c>
      <c r="K18" s="19"/>
    </row>
    <row r="19" spans="2:19">
      <c r="D19" s="43"/>
      <c r="G19" s="49"/>
      <c r="H19" s="42"/>
      <c r="I19" s="42"/>
      <c r="S19" s="14"/>
    </row>
    <row r="20" spans="2:19">
      <c r="K20" s="19"/>
      <c r="L20" s="19"/>
      <c r="M20" s="18"/>
      <c r="N20" s="11"/>
      <c r="O20" s="11"/>
      <c r="P20" s="11"/>
    </row>
    <row r="21" spans="2:19">
      <c r="B21" s="17"/>
      <c r="C21" s="2" t="s">
        <v>5</v>
      </c>
      <c r="K21" s="19"/>
      <c r="L21" s="19"/>
      <c r="M21" s="18"/>
    </row>
    <row r="22" spans="2:19">
      <c r="B22" s="101">
        <v>2</v>
      </c>
      <c r="C22" t="s">
        <v>6</v>
      </c>
      <c r="L22" s="6"/>
      <c r="M22" s="18"/>
    </row>
    <row r="23" spans="2:19">
      <c r="B23" s="101">
        <v>6</v>
      </c>
      <c r="C23" t="s">
        <v>21</v>
      </c>
      <c r="G23" s="11" t="s">
        <v>141</v>
      </c>
      <c r="K23" s="6"/>
      <c r="L23" s="19"/>
      <c r="M23" s="18"/>
    </row>
    <row r="24" spans="2:19">
      <c r="B24" s="101">
        <v>7</v>
      </c>
      <c r="C24" t="s">
        <v>33</v>
      </c>
      <c r="K24" s="19"/>
    </row>
    <row r="25" spans="2:19">
      <c r="B25" s="101">
        <v>8</v>
      </c>
      <c r="C25" t="s">
        <v>140</v>
      </c>
    </row>
    <row r="26" spans="2:19">
      <c r="K26" s="19"/>
      <c r="L26" s="19"/>
      <c r="M26" s="18"/>
    </row>
    <row r="27" spans="2:19">
      <c r="K27" s="19"/>
      <c r="L27" s="19"/>
      <c r="M27" s="19"/>
    </row>
    <row r="30" spans="2:19">
      <c r="K30" s="19"/>
      <c r="L30" s="19"/>
      <c r="M30" s="18"/>
    </row>
    <row r="31" spans="2:19">
      <c r="K31" s="19"/>
      <c r="L31" s="19"/>
      <c r="M31" s="18"/>
    </row>
    <row r="32" spans="2:19">
      <c r="C32" s="2"/>
      <c r="D32" s="3"/>
      <c r="K32" s="6"/>
      <c r="L32" s="6"/>
      <c r="M32" s="19"/>
    </row>
    <row r="33" spans="3:13">
      <c r="D33" s="11"/>
      <c r="K33" s="19"/>
      <c r="L33" s="19"/>
      <c r="M33" s="18"/>
    </row>
    <row r="34" spans="3:13">
      <c r="D34" s="2"/>
      <c r="K34" s="19"/>
      <c r="L34" s="19"/>
      <c r="M34" s="19"/>
    </row>
    <row r="35" spans="3:13">
      <c r="C35" s="2"/>
      <c r="D35" s="2"/>
      <c r="K35" s="19"/>
      <c r="L35" s="19"/>
      <c r="M35" s="19"/>
    </row>
    <row r="38" spans="3:13">
      <c r="K38" s="6"/>
      <c r="L38" s="6"/>
      <c r="M38" s="18"/>
    </row>
  </sheetData>
  <phoneticPr fontId="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7728-28ED-480F-9E3F-FACF902F4C65}">
  <dimension ref="B2:Q25"/>
  <sheetViews>
    <sheetView workbookViewId="0">
      <selection activeCell="H20" sqref="H20"/>
    </sheetView>
  </sheetViews>
  <sheetFormatPr defaultRowHeight="15"/>
  <cols>
    <col min="2" max="2" width="3.28515625" customWidth="1"/>
    <col min="3" max="3" width="21.7109375" bestFit="1" customWidth="1"/>
    <col min="4" max="4" width="14.140625" bestFit="1" customWidth="1"/>
    <col min="7" max="7" width="22.42578125" customWidth="1"/>
    <col min="10" max="10" width="11" bestFit="1" customWidth="1"/>
  </cols>
  <sheetData>
    <row r="2" spans="2:17">
      <c r="B2" s="2" t="s">
        <v>36</v>
      </c>
      <c r="C2" s="2"/>
      <c r="D2" s="40">
        <f>capa_cmy</f>
        <v>13875840</v>
      </c>
      <c r="E2" s="11" t="s">
        <v>20</v>
      </c>
      <c r="J2" s="11"/>
    </row>
    <row r="3" spans="2:17">
      <c r="D3" s="9">
        <f>capa_cmd</f>
        <v>38016</v>
      </c>
      <c r="E3" t="s">
        <v>48</v>
      </c>
      <c r="I3" t="s">
        <v>167</v>
      </c>
      <c r="J3" s="11"/>
    </row>
    <row r="4" spans="2:17">
      <c r="N4" s="11"/>
      <c r="O4" s="11"/>
      <c r="P4" s="11"/>
      <c r="Q4" s="11"/>
    </row>
    <row r="5" spans="2:17">
      <c r="B5">
        <v>1</v>
      </c>
      <c r="C5" t="s">
        <v>148</v>
      </c>
      <c r="D5" s="4">
        <v>2560</v>
      </c>
      <c r="E5" t="s">
        <v>149</v>
      </c>
      <c r="I5" t="s">
        <v>169</v>
      </c>
      <c r="J5">
        <v>181</v>
      </c>
      <c r="K5" t="s">
        <v>168</v>
      </c>
    </row>
    <row r="6" spans="2:17">
      <c r="D6" s="13">
        <f>D5/D3</f>
        <v>6.7340067340067339E-2</v>
      </c>
      <c r="E6" t="s">
        <v>152</v>
      </c>
      <c r="J6" s="4">
        <f>J5*1000000*4.184/3600</f>
        <v>210362.22222222222</v>
      </c>
      <c r="K6" t="s">
        <v>147</v>
      </c>
    </row>
    <row r="8" spans="2:17">
      <c r="B8">
        <v>2</v>
      </c>
      <c r="C8" s="11" t="s">
        <v>143</v>
      </c>
      <c r="D8" s="40">
        <v>24300</v>
      </c>
      <c r="E8" s="11" t="s">
        <v>144</v>
      </c>
    </row>
    <row r="9" spans="2:17">
      <c r="B9" s="11"/>
      <c r="D9" s="64">
        <f>D8/3600</f>
        <v>6.75</v>
      </c>
      <c r="E9" s="11" t="s">
        <v>146</v>
      </c>
    </row>
    <row r="11" spans="2:17">
      <c r="B11">
        <v>3</v>
      </c>
      <c r="C11" s="11" t="s">
        <v>142</v>
      </c>
      <c r="D11" s="11">
        <f>1.626*10^6</f>
        <v>1626000</v>
      </c>
      <c r="E11" s="11" t="s">
        <v>145</v>
      </c>
      <c r="F11" s="65">
        <f>D12*24</f>
        <v>10840</v>
      </c>
      <c r="G11" s="11" t="s">
        <v>19</v>
      </c>
    </row>
    <row r="12" spans="2:17">
      <c r="D12" s="40">
        <f>D11/3600</f>
        <v>451.66666666666669</v>
      </c>
      <c r="E12" s="11" t="s">
        <v>147</v>
      </c>
      <c r="F12" s="66">
        <f>F11/D3</f>
        <v>0.28514309764309764</v>
      </c>
      <c r="G12" s="11" t="s">
        <v>156</v>
      </c>
    </row>
    <row r="14" spans="2:17">
      <c r="B14">
        <v>4</v>
      </c>
      <c r="C14" t="s">
        <v>150</v>
      </c>
      <c r="D14" s="4">
        <v>2141</v>
      </c>
      <c r="E14" t="s">
        <v>149</v>
      </c>
      <c r="F14" s="12">
        <f>D14/D5</f>
        <v>0.83632812499999998</v>
      </c>
      <c r="G14" s="12" t="s">
        <v>151</v>
      </c>
    </row>
    <row r="15" spans="2:17">
      <c r="D15" s="13">
        <f>D14/D3</f>
        <v>5.6318392255892254E-2</v>
      </c>
      <c r="E15" t="s">
        <v>152</v>
      </c>
    </row>
    <row r="17" spans="2:5">
      <c r="B17">
        <v>5</v>
      </c>
      <c r="C17" t="s">
        <v>157</v>
      </c>
      <c r="D17" s="9">
        <f>D5-D14</f>
        <v>419</v>
      </c>
      <c r="E17" t="s">
        <v>149</v>
      </c>
    </row>
    <row r="18" spans="2:5">
      <c r="D18" s="13">
        <f>D6-D15</f>
        <v>1.1021675084175085E-2</v>
      </c>
      <c r="E18" t="s">
        <v>158</v>
      </c>
    </row>
    <row r="19" spans="2:5">
      <c r="D19" s="13">
        <f>D18*D9</f>
        <v>7.4396306818181823E-2</v>
      </c>
      <c r="E19" t="s">
        <v>156</v>
      </c>
    </row>
    <row r="21" spans="2:5">
      <c r="B21">
        <v>6</v>
      </c>
      <c r="C21" t="s">
        <v>159</v>
      </c>
      <c r="D21" s="13">
        <f>D19*price_biogas</f>
        <v>8.2078424242631022E-4</v>
      </c>
      <c r="E21" t="s">
        <v>160</v>
      </c>
    </row>
    <row r="24" spans="2:5">
      <c r="B24" s="2" t="s">
        <v>5</v>
      </c>
    </row>
    <row r="25" spans="2:5">
      <c r="B25">
        <v>1</v>
      </c>
      <c r="C25" s="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Assumptions and parameters</vt:lpstr>
      <vt:lpstr>Treatment cost</vt:lpstr>
      <vt:lpstr>Capital cost</vt:lpstr>
      <vt:lpstr>Land</vt:lpstr>
      <vt:lpstr>O&amp;M cost</vt:lpstr>
      <vt:lpstr>Electricity</vt:lpstr>
      <vt:lpstr>Biogas</vt:lpstr>
      <vt:lpstr>capa_cmd</vt:lpstr>
      <vt:lpstr>capa_cmy</vt:lpstr>
      <vt:lpstr>capa_mgd</vt:lpstr>
      <vt:lpstr>ccr</vt:lpstr>
      <vt:lpstr>cm_to_gal</vt:lpstr>
      <vt:lpstr>contingency</vt:lpstr>
      <vt:lpstr>labor_cost</vt:lpstr>
      <vt:lpstr>plant_area</vt:lpstr>
      <vt:lpstr>price_biogas</vt:lpstr>
      <vt:lpstr>price_cl</vt:lpstr>
      <vt:lpstr>price_disposal</vt:lpstr>
      <vt:lpstr>price_elec</vt:lpstr>
      <vt:lpstr>price_lime</vt:lpstr>
      <vt:lpstr>price_polymer</vt:lpstr>
      <vt:lpstr>sm_to_sf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Jaewon Byun</dc:creator>
  <cp:lastModifiedBy>Jaewon Byun</cp:lastModifiedBy>
  <cp:lastPrinted>2022-01-03T20:23:00Z</cp:lastPrinted>
  <dcterms:created xsi:type="dcterms:W3CDTF">2021-12-30T23:24:27Z</dcterms:created>
  <dcterms:modified xsi:type="dcterms:W3CDTF">2022-01-28T19:34:57Z</dcterms:modified>
</cp:coreProperties>
</file>